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-nas\공유문서\11._K-POP콘서트\2026년\2026.07.24-26 Seoul Water Bomb\"/>
    </mc:Choice>
  </mc:AlternateContent>
  <bookViews>
    <workbookView xWindow="0" yWindow="0" windowWidth="28800" windowHeight="12285"/>
  </bookViews>
  <sheets>
    <sheet name="원가" sheetId="3" r:id="rId1"/>
    <sheet name="테이블+셔틀(5% dicount)" sheetId="2" r:id="rId2"/>
    <sheet name="테이블+셔틀+호텔(5% dicount)" sheetId="5" r:id="rId3"/>
    <sheet name="各國價錢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2" i="5"/>
  <c r="E3" i="5"/>
  <c r="E4" i="5"/>
  <c r="E5" i="5"/>
  <c r="E6" i="5"/>
  <c r="E7" i="5"/>
  <c r="E8" i="5"/>
  <c r="E2" i="5"/>
  <c r="C3" i="5"/>
  <c r="C4" i="5"/>
  <c r="C5" i="5"/>
  <c r="C6" i="5"/>
  <c r="C7" i="5"/>
  <c r="C8" i="5"/>
  <c r="C2" i="5"/>
  <c r="C13" i="5"/>
  <c r="B41" i="5"/>
  <c r="B19" i="5"/>
  <c r="F8" i="5"/>
  <c r="B16" i="5"/>
  <c r="B17" i="5"/>
  <c r="B18" i="5"/>
  <c r="F7" i="5"/>
  <c r="F6" i="5"/>
  <c r="F5" i="5"/>
  <c r="F4" i="5"/>
  <c r="F3" i="5"/>
  <c r="F2" i="5"/>
  <c r="D8" i="5"/>
  <c r="D7" i="5"/>
  <c r="D6" i="5"/>
  <c r="D5" i="5"/>
  <c r="D4" i="5"/>
  <c r="D3" i="5"/>
  <c r="D2" i="5"/>
  <c r="B8" i="5"/>
  <c r="B7" i="5"/>
  <c r="B6" i="5"/>
  <c r="B5" i="5"/>
  <c r="B4" i="5"/>
  <c r="B3" i="5"/>
  <c r="B2" i="5" l="1"/>
  <c r="F47" i="5"/>
  <c r="F48" i="5"/>
  <c r="F49" i="5"/>
  <c r="F50" i="5"/>
  <c r="F51" i="5"/>
  <c r="F52" i="5"/>
  <c r="F46" i="5"/>
  <c r="D47" i="5"/>
  <c r="D48" i="5"/>
  <c r="D49" i="5"/>
  <c r="D50" i="5"/>
  <c r="D51" i="5"/>
  <c r="D52" i="5"/>
  <c r="D46" i="5"/>
  <c r="B47" i="5"/>
  <c r="B48" i="5"/>
  <c r="B49" i="5"/>
  <c r="B50" i="5"/>
  <c r="B51" i="5"/>
  <c r="B52" i="5"/>
  <c r="B46" i="5"/>
  <c r="G52" i="5"/>
  <c r="G51" i="5"/>
  <c r="G50" i="5"/>
  <c r="G49" i="5"/>
  <c r="G48" i="5"/>
  <c r="G47" i="5"/>
  <c r="G46" i="5"/>
  <c r="E52" i="5"/>
  <c r="E51" i="5"/>
  <c r="E50" i="5"/>
  <c r="E49" i="5"/>
  <c r="E48" i="5"/>
  <c r="E47" i="5"/>
  <c r="E46" i="5"/>
  <c r="C52" i="5"/>
  <c r="C51" i="5"/>
  <c r="C50" i="5"/>
  <c r="C49" i="5"/>
  <c r="C48" i="5"/>
  <c r="C47" i="5"/>
  <c r="C46" i="5"/>
  <c r="F4" i="2" l="1"/>
  <c r="F8" i="2"/>
  <c r="F7" i="2"/>
  <c r="F6" i="2"/>
  <c r="F5" i="2"/>
  <c r="F3" i="2"/>
  <c r="F2" i="2"/>
  <c r="D2" i="2"/>
  <c r="D8" i="2"/>
  <c r="D7" i="2"/>
  <c r="D6" i="2"/>
  <c r="D5" i="2"/>
  <c r="D4" i="2"/>
  <c r="D3" i="2"/>
  <c r="B8" i="2"/>
  <c r="B7" i="2"/>
  <c r="B6" i="2"/>
  <c r="B5" i="2"/>
  <c r="B4" i="2"/>
  <c r="B3" i="2"/>
  <c r="B2" i="2"/>
  <c r="B13" i="2" s="1"/>
  <c r="F60" i="6" l="1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F21" i="6"/>
  <c r="E21" i="6"/>
  <c r="D21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B38" i="5" l="1"/>
  <c r="C38" i="5" s="1"/>
  <c r="B25" i="5"/>
  <c r="C25" i="5" s="1"/>
  <c r="B27" i="5"/>
  <c r="G27" i="5" s="1"/>
  <c r="H27" i="5" s="1"/>
  <c r="I27" i="5" s="1"/>
  <c r="G19" i="5"/>
  <c r="H19" i="5" s="1"/>
  <c r="I19" i="5" s="1"/>
  <c r="B14" i="5"/>
  <c r="C14" i="5" s="1"/>
  <c r="C41" i="5"/>
  <c r="B40" i="5"/>
  <c r="G40" i="5" s="1"/>
  <c r="B37" i="5"/>
  <c r="C37" i="5" s="1"/>
  <c r="B36" i="5"/>
  <c r="B35" i="5"/>
  <c r="G35" i="5" s="1"/>
  <c r="B30" i="5"/>
  <c r="C30" i="5" s="1"/>
  <c r="B29" i="5"/>
  <c r="C29" i="5" s="1"/>
  <c r="B28" i="5"/>
  <c r="B26" i="5"/>
  <c r="C26" i="5" s="1"/>
  <c r="B24" i="5"/>
  <c r="B39" i="5" l="1"/>
  <c r="G39" i="5" s="1"/>
  <c r="K19" i="5"/>
  <c r="C18" i="5"/>
  <c r="C17" i="5"/>
  <c r="B15" i="5"/>
  <c r="G15" i="5" s="1"/>
  <c r="H15" i="5" s="1"/>
  <c r="I15" i="5" s="1"/>
  <c r="K15" i="5" s="1"/>
  <c r="K27" i="5"/>
  <c r="D37" i="5"/>
  <c r="E37" i="5" s="1"/>
  <c r="F37" i="5" s="1"/>
  <c r="J37" i="5" s="1"/>
  <c r="D29" i="5"/>
  <c r="E29" i="5" s="1"/>
  <c r="F29" i="5" s="1"/>
  <c r="J29" i="5" s="1"/>
  <c r="D16" i="5"/>
  <c r="E16" i="5" s="1"/>
  <c r="F16" i="5" s="1"/>
  <c r="J16" i="5" s="1"/>
  <c r="D25" i="5"/>
  <c r="E25" i="5" s="1"/>
  <c r="F25" i="5" s="1"/>
  <c r="G36" i="5"/>
  <c r="H36" i="5" s="1"/>
  <c r="I36" i="5" s="1"/>
  <c r="K36" i="5" s="1"/>
  <c r="G16" i="5"/>
  <c r="H16" i="5" s="1"/>
  <c r="I16" i="5" s="1"/>
  <c r="D24" i="5"/>
  <c r="E24" i="5" s="1"/>
  <c r="F24" i="5" s="1"/>
  <c r="J24" i="5" s="1"/>
  <c r="G24" i="5"/>
  <c r="H24" i="5" s="1"/>
  <c r="I24" i="5" s="1"/>
  <c r="K24" i="5" s="1"/>
  <c r="D28" i="5"/>
  <c r="E28" i="5" s="1"/>
  <c r="F28" i="5" s="1"/>
  <c r="J28" i="5" s="1"/>
  <c r="G28" i="5"/>
  <c r="H28" i="5" s="1"/>
  <c r="I28" i="5" s="1"/>
  <c r="K28" i="5" s="1"/>
  <c r="D36" i="5"/>
  <c r="E36" i="5" s="1"/>
  <c r="F36" i="5" s="1"/>
  <c r="J36" i="5" s="1"/>
  <c r="H35" i="5"/>
  <c r="I35" i="5" s="1"/>
  <c r="K35" i="5" s="1"/>
  <c r="D41" i="5"/>
  <c r="E41" i="5" s="1"/>
  <c r="F41" i="5" s="1"/>
  <c r="J41" i="5" s="1"/>
  <c r="D30" i="5"/>
  <c r="E30" i="5" s="1"/>
  <c r="F30" i="5" s="1"/>
  <c r="J30" i="5" s="1"/>
  <c r="D38" i="5"/>
  <c r="E38" i="5" s="1"/>
  <c r="F38" i="5" s="1"/>
  <c r="J38" i="5" s="1"/>
  <c r="H40" i="5"/>
  <c r="I40" i="5" s="1"/>
  <c r="K40" i="5" s="1"/>
  <c r="D26" i="5"/>
  <c r="E26" i="5" s="1"/>
  <c r="F26" i="5" s="1"/>
  <c r="J26" i="5" s="1"/>
  <c r="C19" i="5"/>
  <c r="G25" i="5"/>
  <c r="H25" i="5" s="1"/>
  <c r="I25" i="5" s="1"/>
  <c r="C27" i="5"/>
  <c r="G29" i="5"/>
  <c r="H29" i="5" s="1"/>
  <c r="I29" i="5" s="1"/>
  <c r="K29" i="5" s="1"/>
  <c r="C35" i="5"/>
  <c r="G37" i="5"/>
  <c r="H37" i="5" s="1"/>
  <c r="I37" i="5" s="1"/>
  <c r="K37" i="5" s="1"/>
  <c r="G41" i="5"/>
  <c r="H41" i="5" s="1"/>
  <c r="I41" i="5" s="1"/>
  <c r="K41" i="5" s="1"/>
  <c r="D14" i="5"/>
  <c r="E14" i="5" s="1"/>
  <c r="F14" i="5" s="1"/>
  <c r="D27" i="5"/>
  <c r="E27" i="5" s="1"/>
  <c r="F27" i="5" s="1"/>
  <c r="D19" i="5"/>
  <c r="E19" i="5" s="1"/>
  <c r="F19" i="5" s="1"/>
  <c r="J19" i="5" s="1"/>
  <c r="D35" i="5"/>
  <c r="E35" i="5" s="1"/>
  <c r="F35" i="5" s="1"/>
  <c r="J35" i="5" s="1"/>
  <c r="G14" i="5"/>
  <c r="H14" i="5" s="1"/>
  <c r="I14" i="5" s="1"/>
  <c r="C16" i="5"/>
  <c r="C24" i="5"/>
  <c r="G26" i="5"/>
  <c r="H26" i="5" s="1"/>
  <c r="I26" i="5" s="1"/>
  <c r="K26" i="5" s="1"/>
  <c r="C28" i="5"/>
  <c r="G30" i="5"/>
  <c r="H30" i="5" s="1"/>
  <c r="I30" i="5" s="1"/>
  <c r="K30" i="5" s="1"/>
  <c r="C36" i="5"/>
  <c r="G38" i="5"/>
  <c r="H38" i="5" s="1"/>
  <c r="I38" i="5" s="1"/>
  <c r="K38" i="5" s="1"/>
  <c r="C40" i="5"/>
  <c r="D40" i="5"/>
  <c r="E40" i="5" s="1"/>
  <c r="F40" i="5" s="1"/>
  <c r="J40" i="5" s="1"/>
  <c r="B41" i="2"/>
  <c r="B40" i="2"/>
  <c r="B39" i="2"/>
  <c r="B38" i="2"/>
  <c r="C39" i="2"/>
  <c r="B37" i="2"/>
  <c r="B36" i="2"/>
  <c r="B35" i="2"/>
  <c r="D35" i="2" s="1"/>
  <c r="B30" i="2"/>
  <c r="B29" i="2"/>
  <c r="B28" i="2"/>
  <c r="B27" i="2"/>
  <c r="B26" i="2"/>
  <c r="B25" i="2"/>
  <c r="B24" i="2"/>
  <c r="B19" i="2"/>
  <c r="G19" i="2" s="1"/>
  <c r="H19" i="2" s="1"/>
  <c r="I19" i="2" s="1"/>
  <c r="B18" i="2"/>
  <c r="G18" i="2" s="1"/>
  <c r="H18" i="2" s="1"/>
  <c r="I18" i="2" s="1"/>
  <c r="B17" i="2"/>
  <c r="G17" i="2" s="1"/>
  <c r="H17" i="2" s="1"/>
  <c r="I17" i="2" s="1"/>
  <c r="B16" i="2"/>
  <c r="G16" i="2" s="1"/>
  <c r="H16" i="2" s="1"/>
  <c r="I16" i="2" s="1"/>
  <c r="B15" i="2"/>
  <c r="G15" i="2" s="1"/>
  <c r="H15" i="2" s="1"/>
  <c r="I15" i="2" s="1"/>
  <c r="B14" i="2"/>
  <c r="G14" i="2" s="1"/>
  <c r="H14" i="2" s="1"/>
  <c r="I14" i="2" s="1"/>
  <c r="G13" i="2"/>
  <c r="H13" i="2" s="1"/>
  <c r="I13" i="2" s="1"/>
  <c r="G8" i="2"/>
  <c r="E8" i="2"/>
  <c r="C8" i="2"/>
  <c r="G7" i="2"/>
  <c r="E7" i="2"/>
  <c r="C7" i="2"/>
  <c r="G6" i="2"/>
  <c r="E6" i="2"/>
  <c r="C6" i="2"/>
  <c r="G5" i="2"/>
  <c r="E5" i="2"/>
  <c r="C5" i="2"/>
  <c r="G4" i="2"/>
  <c r="E4" i="2"/>
  <c r="C4" i="2"/>
  <c r="G3" i="2"/>
  <c r="E3" i="2"/>
  <c r="C3" i="2"/>
  <c r="G2" i="2"/>
  <c r="E2" i="2"/>
  <c r="C2" i="2"/>
  <c r="C36" i="3"/>
  <c r="C37" i="3"/>
  <c r="I27" i="3"/>
  <c r="F27" i="3"/>
  <c r="C27" i="3"/>
  <c r="C28" i="3"/>
  <c r="C29" i="3"/>
  <c r="C16" i="3"/>
  <c r="C19" i="3"/>
  <c r="G3" i="3"/>
  <c r="G4" i="3"/>
  <c r="G5" i="3"/>
  <c r="G6" i="3"/>
  <c r="G7" i="3"/>
  <c r="G8" i="3"/>
  <c r="G2" i="3"/>
  <c r="E3" i="3"/>
  <c r="E4" i="3"/>
  <c r="E5" i="3"/>
  <c r="E6" i="3"/>
  <c r="E7" i="3"/>
  <c r="E8" i="3"/>
  <c r="E2" i="3"/>
  <c r="C3" i="3"/>
  <c r="C4" i="3"/>
  <c r="C5" i="3"/>
  <c r="C6" i="3"/>
  <c r="C7" i="3"/>
  <c r="C8" i="3"/>
  <c r="C2" i="3"/>
  <c r="B13" i="3"/>
  <c r="D13" i="3" s="1"/>
  <c r="B14" i="3"/>
  <c r="G14" i="3" s="1"/>
  <c r="B15" i="3"/>
  <c r="D15" i="3" s="1"/>
  <c r="B16" i="3"/>
  <c r="D16" i="3" s="1"/>
  <c r="B17" i="3"/>
  <c r="C17" i="3" s="1"/>
  <c r="B18" i="3"/>
  <c r="D18" i="3" s="1"/>
  <c r="E18" i="3" s="1"/>
  <c r="F18" i="3" s="1"/>
  <c r="B19" i="3"/>
  <c r="B24" i="3"/>
  <c r="C24" i="3" s="1"/>
  <c r="B25" i="3"/>
  <c r="D25" i="3" s="1"/>
  <c r="G25" i="3"/>
  <c r="H25" i="3"/>
  <c r="I25" i="3" s="1"/>
  <c r="B26" i="3"/>
  <c r="G26" i="3" s="1"/>
  <c r="B27" i="3"/>
  <c r="D27" i="3" s="1"/>
  <c r="E27" i="3" s="1"/>
  <c r="G27" i="3"/>
  <c r="H27" i="3"/>
  <c r="B28" i="3"/>
  <c r="D28" i="3" s="1"/>
  <c r="B29" i="3"/>
  <c r="B30" i="3"/>
  <c r="D30" i="3" s="1"/>
  <c r="E30" i="3" s="1"/>
  <c r="F30" i="3" s="1"/>
  <c r="B35" i="3"/>
  <c r="C35" i="3" s="1"/>
  <c r="B36" i="3"/>
  <c r="D36" i="3" s="1"/>
  <c r="B37" i="3"/>
  <c r="D37" i="3" s="1"/>
  <c r="B38" i="3"/>
  <c r="G38" i="3" s="1"/>
  <c r="B39" i="3"/>
  <c r="D39" i="3" s="1"/>
  <c r="E39" i="3" s="1"/>
  <c r="F39" i="3" s="1"/>
  <c r="G39" i="3"/>
  <c r="H39" i="3" s="1"/>
  <c r="I39" i="3" s="1"/>
  <c r="B40" i="3"/>
  <c r="D40" i="3" s="1"/>
  <c r="B41" i="3"/>
  <c r="D41" i="3" s="1"/>
  <c r="E41" i="3" s="1"/>
  <c r="F41" i="3" s="1"/>
  <c r="D39" i="5" l="1"/>
  <c r="E39" i="5" s="1"/>
  <c r="F39" i="5" s="1"/>
  <c r="J39" i="5" s="1"/>
  <c r="C39" i="5"/>
  <c r="H39" i="5"/>
  <c r="I39" i="5" s="1"/>
  <c r="K39" i="5" s="1"/>
  <c r="J25" i="5"/>
  <c r="K25" i="5"/>
  <c r="J27" i="5"/>
  <c r="D15" i="5"/>
  <c r="E15" i="5" s="1"/>
  <c r="F15" i="5" s="1"/>
  <c r="J15" i="5" s="1"/>
  <c r="C15" i="5"/>
  <c r="K14" i="5"/>
  <c r="J14" i="5"/>
  <c r="G17" i="5"/>
  <c r="H17" i="5" s="1"/>
  <c r="I17" i="5" s="1"/>
  <c r="K17" i="5" s="1"/>
  <c r="D17" i="5"/>
  <c r="E17" i="5" s="1"/>
  <c r="F17" i="5" s="1"/>
  <c r="J17" i="5" s="1"/>
  <c r="G18" i="5"/>
  <c r="H18" i="5" s="1"/>
  <c r="I18" i="5" s="1"/>
  <c r="K18" i="5" s="1"/>
  <c r="D18" i="5"/>
  <c r="E18" i="5" s="1"/>
  <c r="F18" i="5" s="1"/>
  <c r="J18" i="5" s="1"/>
  <c r="K16" i="5"/>
  <c r="C37" i="2"/>
  <c r="C41" i="2"/>
  <c r="D36" i="2"/>
  <c r="E36" i="2" s="1"/>
  <c r="F36" i="2" s="1"/>
  <c r="D39" i="2"/>
  <c r="E39" i="2" s="1"/>
  <c r="F39" i="2" s="1"/>
  <c r="E35" i="2"/>
  <c r="F35" i="2" s="1"/>
  <c r="C38" i="2"/>
  <c r="D38" i="2"/>
  <c r="E38" i="2" s="1"/>
  <c r="F38" i="2" s="1"/>
  <c r="G35" i="2"/>
  <c r="H35" i="2" s="1"/>
  <c r="I35" i="2" s="1"/>
  <c r="G36" i="2"/>
  <c r="H36" i="2" s="1"/>
  <c r="I36" i="2" s="1"/>
  <c r="G37" i="2"/>
  <c r="H37" i="2" s="1"/>
  <c r="I37" i="2" s="1"/>
  <c r="G38" i="2"/>
  <c r="H38" i="2" s="1"/>
  <c r="I38" i="2" s="1"/>
  <c r="G39" i="2"/>
  <c r="G40" i="2"/>
  <c r="H40" i="2" s="1"/>
  <c r="I40" i="2" s="1"/>
  <c r="G41" i="2"/>
  <c r="H41" i="2" s="1"/>
  <c r="I41" i="2" s="1"/>
  <c r="C35" i="2"/>
  <c r="C40" i="2"/>
  <c r="D41" i="2"/>
  <c r="E41" i="2" s="1"/>
  <c r="F41" i="2" s="1"/>
  <c r="H39" i="2"/>
  <c r="I39" i="2" s="1"/>
  <c r="C36" i="2"/>
  <c r="D37" i="2"/>
  <c r="E37" i="2" s="1"/>
  <c r="F37" i="2" s="1"/>
  <c r="D40" i="2"/>
  <c r="E40" i="2" s="1"/>
  <c r="F40" i="2" s="1"/>
  <c r="H24" i="2"/>
  <c r="I24" i="2" s="1"/>
  <c r="H27" i="2"/>
  <c r="I27" i="2" s="1"/>
  <c r="D28" i="2"/>
  <c r="E28" i="2" s="1"/>
  <c r="F28" i="2" s="1"/>
  <c r="C24" i="2"/>
  <c r="C27" i="2"/>
  <c r="C29" i="2"/>
  <c r="D26" i="2"/>
  <c r="D30" i="2"/>
  <c r="E30" i="2" s="1"/>
  <c r="F30" i="2" s="1"/>
  <c r="E26" i="2"/>
  <c r="F26" i="2" s="1"/>
  <c r="C25" i="2"/>
  <c r="C28" i="2"/>
  <c r="D25" i="2"/>
  <c r="E25" i="2" s="1"/>
  <c r="F25" i="2" s="1"/>
  <c r="D29" i="2"/>
  <c r="E29" i="2" s="1"/>
  <c r="F29" i="2" s="1"/>
  <c r="G24" i="2"/>
  <c r="G25" i="2"/>
  <c r="H25" i="2" s="1"/>
  <c r="I25" i="2" s="1"/>
  <c r="G26" i="2"/>
  <c r="H26" i="2" s="1"/>
  <c r="I26" i="2" s="1"/>
  <c r="G27" i="2"/>
  <c r="G28" i="2"/>
  <c r="H28" i="2" s="1"/>
  <c r="I28" i="2" s="1"/>
  <c r="G29" i="2"/>
  <c r="H29" i="2" s="1"/>
  <c r="I29" i="2" s="1"/>
  <c r="G30" i="2"/>
  <c r="H30" i="2" s="1"/>
  <c r="I30" i="2" s="1"/>
  <c r="C26" i="2"/>
  <c r="C30" i="2"/>
  <c r="D24" i="2"/>
  <c r="E24" i="2" s="1"/>
  <c r="F24" i="2" s="1"/>
  <c r="D27" i="2"/>
  <c r="E27" i="2" s="1"/>
  <c r="F27" i="2" s="1"/>
  <c r="C13" i="2"/>
  <c r="C14" i="2"/>
  <c r="C15" i="2"/>
  <c r="C16" i="2"/>
  <c r="C17" i="2"/>
  <c r="C18" i="2"/>
  <c r="C19" i="2"/>
  <c r="D13" i="2"/>
  <c r="E13" i="2" s="1"/>
  <c r="F13" i="2" s="1"/>
  <c r="D14" i="2"/>
  <c r="E14" i="2" s="1"/>
  <c r="F14" i="2" s="1"/>
  <c r="D15" i="2"/>
  <c r="E15" i="2" s="1"/>
  <c r="F15" i="2" s="1"/>
  <c r="D16" i="2"/>
  <c r="E16" i="2" s="1"/>
  <c r="F16" i="2" s="1"/>
  <c r="D17" i="2"/>
  <c r="E17" i="2" s="1"/>
  <c r="F17" i="2" s="1"/>
  <c r="D18" i="2"/>
  <c r="E18" i="2" s="1"/>
  <c r="F18" i="2" s="1"/>
  <c r="D19" i="2"/>
  <c r="E19" i="2" s="1"/>
  <c r="F19" i="2" s="1"/>
  <c r="D17" i="3"/>
  <c r="E17" i="3" s="1"/>
  <c r="F17" i="3" s="1"/>
  <c r="C18" i="3"/>
  <c r="C26" i="3"/>
  <c r="C15" i="3"/>
  <c r="C25" i="3"/>
  <c r="C41" i="3"/>
  <c r="G15" i="3"/>
  <c r="H15" i="3" s="1"/>
  <c r="I15" i="3" s="1"/>
  <c r="C14" i="3"/>
  <c r="C40" i="3"/>
  <c r="E15" i="3"/>
  <c r="F15" i="3" s="1"/>
  <c r="C13" i="3"/>
  <c r="C39" i="3"/>
  <c r="D26" i="3"/>
  <c r="G18" i="3"/>
  <c r="H18" i="3" s="1"/>
  <c r="I18" i="3" s="1"/>
  <c r="E13" i="3"/>
  <c r="F13" i="3" s="1"/>
  <c r="C30" i="3"/>
  <c r="C38" i="3"/>
  <c r="G41" i="3"/>
  <c r="H41" i="3" s="1"/>
  <c r="I41" i="3" s="1"/>
  <c r="D38" i="3"/>
  <c r="E38" i="3" s="1"/>
  <c r="F38" i="3" s="1"/>
  <c r="G37" i="3"/>
  <c r="H37" i="3" s="1"/>
  <c r="I37" i="3" s="1"/>
  <c r="G36" i="3"/>
  <c r="H36" i="3" s="1"/>
  <c r="I36" i="3" s="1"/>
  <c r="E36" i="3"/>
  <c r="F36" i="3" s="1"/>
  <c r="G30" i="3"/>
  <c r="H30" i="3" s="1"/>
  <c r="I30" i="3" s="1"/>
  <c r="D29" i="3"/>
  <c r="E29" i="3" s="1"/>
  <c r="F29" i="3" s="1"/>
  <c r="G29" i="3"/>
  <c r="H29" i="3" s="1"/>
  <c r="I29" i="3" s="1"/>
  <c r="D24" i="3"/>
  <c r="E24" i="3" s="1"/>
  <c r="F24" i="3" s="1"/>
  <c r="G24" i="3"/>
  <c r="H24" i="3" s="1"/>
  <c r="I24" i="3" s="1"/>
  <c r="D35" i="3"/>
  <c r="E35" i="3" s="1"/>
  <c r="F35" i="3" s="1"/>
  <c r="E26" i="3"/>
  <c r="F26" i="3" s="1"/>
  <c r="D19" i="3"/>
  <c r="E19" i="3" s="1"/>
  <c r="F19" i="3" s="1"/>
  <c r="G17" i="3"/>
  <c r="H17" i="3" s="1"/>
  <c r="I17" i="3" s="1"/>
  <c r="D14" i="3"/>
  <c r="E14" i="3" s="1"/>
  <c r="F14" i="3" s="1"/>
  <c r="G13" i="3"/>
  <c r="H13" i="3" s="1"/>
  <c r="I13" i="3" s="1"/>
  <c r="G40" i="3"/>
  <c r="H40" i="3" s="1"/>
  <c r="I40" i="3" s="1"/>
  <c r="E37" i="3"/>
  <c r="F37" i="3" s="1"/>
  <c r="G28" i="3"/>
  <c r="H28" i="3" s="1"/>
  <c r="I28" i="3" s="1"/>
  <c r="E25" i="3"/>
  <c r="F25" i="3" s="1"/>
  <c r="G16" i="3"/>
  <c r="H16" i="3" s="1"/>
  <c r="I16" i="3" s="1"/>
  <c r="E40" i="3"/>
  <c r="F40" i="3" s="1"/>
  <c r="H38" i="3"/>
  <c r="I38" i="3" s="1"/>
  <c r="G35" i="3"/>
  <c r="H35" i="3" s="1"/>
  <c r="I35" i="3" s="1"/>
  <c r="E28" i="3"/>
  <c r="F28" i="3" s="1"/>
  <c r="H26" i="3"/>
  <c r="I26" i="3" s="1"/>
  <c r="G19" i="3"/>
  <c r="H19" i="3" s="1"/>
  <c r="I19" i="3" s="1"/>
  <c r="E16" i="3"/>
  <c r="F16" i="3" s="1"/>
  <c r="H14" i="3"/>
  <c r="I14" i="3" s="1"/>
  <c r="K30" i="2" l="1"/>
  <c r="K13" i="2"/>
  <c r="J35" i="2"/>
  <c r="J30" i="2"/>
  <c r="K28" i="2"/>
  <c r="K25" i="2"/>
  <c r="K18" i="2"/>
  <c r="J18" i="2"/>
  <c r="J40" i="2" l="1"/>
  <c r="K16" i="2"/>
  <c r="J13" i="2"/>
  <c r="J25" i="2"/>
  <c r="J19" i="2"/>
  <c r="K35" i="2"/>
  <c r="K14" i="2"/>
  <c r="K26" i="2"/>
  <c r="K37" i="2"/>
  <c r="K40" i="2"/>
  <c r="J16" i="2"/>
  <c r="K15" i="2"/>
  <c r="K41" i="2"/>
  <c r="J15" i="2"/>
  <c r="K19" i="2"/>
  <c r="J28" i="2"/>
  <c r="J37" i="2"/>
  <c r="K38" i="2"/>
  <c r="J27" i="2"/>
  <c r="J39" i="2"/>
  <c r="J24" i="2"/>
  <c r="J36" i="2"/>
  <c r="J17" i="2"/>
  <c r="K27" i="2"/>
  <c r="J29" i="2"/>
  <c r="K39" i="2"/>
  <c r="J41" i="2"/>
  <c r="J14" i="2"/>
  <c r="K24" i="2"/>
  <c r="J26" i="2"/>
  <c r="K36" i="2"/>
  <c r="J38" i="2"/>
  <c r="K17" i="2"/>
  <c r="K29" i="2"/>
  <c r="B13" i="5" l="1"/>
  <c r="D13" i="5" l="1"/>
  <c r="E13" i="5" s="1"/>
  <c r="F13" i="5" s="1"/>
  <c r="J13" i="5" s="1"/>
  <c r="G13" i="5"/>
  <c r="H13" i="5" s="1"/>
  <c r="I13" i="5" s="1"/>
  <c r="K13" i="5" s="1"/>
</calcChain>
</file>

<file path=xl/sharedStrings.xml><?xml version="1.0" encoding="utf-8"?>
<sst xmlns="http://schemas.openxmlformats.org/spreadsheetml/2006/main" count="412" uniqueCount="87">
  <si>
    <t>Tier</t>
  </si>
  <si>
    <t>Wristbands</t>
  </si>
  <si>
    <t>Parking</t>
  </si>
  <si>
    <t>Tables/Day</t>
  </si>
  <si>
    <t>Package Inclusions (all + Premium F&amp;B Welcome Package)</t>
  </si>
  <si>
    <t>CABANA</t>
  </si>
  <si>
    <t>TIER 1 FRONT</t>
  </si>
  <si>
    <t>TIER 1 REAR</t>
  </si>
  <si>
    <t>TIER 2 FRONT</t>
  </si>
  <si>
    <t>TIER 2 REAR</t>
  </si>
  <si>
    <t>TIER 3</t>
  </si>
  <si>
    <t>TIER 4</t>
  </si>
  <si>
    <t>Sell Price (Unit price*10%)</t>
    <phoneticPr fontId="2" type="noConversion"/>
  </si>
  <si>
    <t>영업이익(TK)</t>
    <phoneticPr fontId="2" type="noConversion"/>
  </si>
  <si>
    <t>영업이익(여행대장)</t>
    <phoneticPr fontId="2" type="noConversion"/>
  </si>
  <si>
    <t>영업이익(TK)</t>
    <phoneticPr fontId="2" type="noConversion"/>
  </si>
  <si>
    <t>TIER 2 FRONT</t>
    <phoneticPr fontId="2" type="noConversion"/>
  </si>
  <si>
    <t>Price (KRW)FRI
(국내카드 3% 수수료 제외)</t>
    <phoneticPr fontId="2" type="noConversion"/>
  </si>
  <si>
    <t>Price (USD)FRI
(국내카드 3% 수수료 제외)</t>
    <phoneticPr fontId="2" type="noConversion"/>
  </si>
  <si>
    <t>국내카드 3% 수수료</t>
    <phoneticPr fontId="2" type="noConversion"/>
  </si>
  <si>
    <t>Price (KRW)FRI
(해외카드 3.5% 수수료 제외)</t>
    <phoneticPr fontId="2" type="noConversion"/>
  </si>
  <si>
    <t>Price (USD)FRI
(해외카드 3.5% 수수료 제외)</t>
    <phoneticPr fontId="2" type="noConversion"/>
  </si>
  <si>
    <t>해외카드 3.5% 수수료</t>
    <phoneticPr fontId="2" type="noConversion"/>
  </si>
  <si>
    <t>Sell Price (Unit price*10%)</t>
    <phoneticPr fontId="2" type="noConversion"/>
  </si>
  <si>
    <t>Price (KRW)SAT
(국내카드 3% 수수료 제외)</t>
    <phoneticPr fontId="2" type="noConversion"/>
  </si>
  <si>
    <t>Price (USD)SAT
(국내카드 3% 수수료 제외)</t>
    <phoneticPr fontId="2" type="noConversion"/>
  </si>
  <si>
    <t>Price (KRW)SAT
(해외카드 3.5% 수수료 제외)</t>
    <phoneticPr fontId="2" type="noConversion"/>
  </si>
  <si>
    <t>Price (USD)SAT
(해외카드 3.5% 수수료 제외)</t>
    <phoneticPr fontId="2" type="noConversion"/>
  </si>
  <si>
    <t>Price (KRW)SUN
(국내카드 3% 수수료 제외)</t>
    <phoneticPr fontId="2" type="noConversion"/>
  </si>
  <si>
    <t>Price (USD)SUN
(국내카드 3% 수수료 제외)</t>
    <phoneticPr fontId="2" type="noConversion"/>
  </si>
  <si>
    <t>국내카드 3% 수수료</t>
    <phoneticPr fontId="2" type="noConversion"/>
  </si>
  <si>
    <t>Price (KRW)SUN
(해외카드 3.5% 수수료 제외)</t>
    <phoneticPr fontId="2" type="noConversion"/>
  </si>
  <si>
    <t>Price (USD)SUN
(해외카드 3.5% 수수료 제외)</t>
    <phoneticPr fontId="2" type="noConversion"/>
  </si>
  <si>
    <t>해외카드 3.5% 수수료</t>
    <phoneticPr fontId="2" type="noConversion"/>
  </si>
  <si>
    <t>Sell Price (Unit price*10%)</t>
    <phoneticPr fontId="2" type="noConversion"/>
  </si>
  <si>
    <t>Moët &amp; Chandon 750ml ×2
Moët Impérial Rosé 750ml ×2</t>
    <phoneticPr fontId="2" type="noConversion"/>
  </si>
  <si>
    <t>Moët &amp; Chandon 750ml ×4
Moët Impérial Rosé 750ml ×2</t>
    <phoneticPr fontId="2" type="noConversion"/>
  </si>
  <si>
    <t>Dom Pérignon 750ml ×1
Moët &amp; Chandon 750ml ×4 
Moët Impérial Rosé 750ml ×3
Clase Azul Reposado 750ml ×1</t>
    <phoneticPr fontId="2" type="noConversion"/>
  </si>
  <si>
    <t>Armand de Brignac 750ml ×1
Dom Pérignon 750ml ×2 
Moët &amp; Chandon 750ml ×3
Moët Impérial Rosé 750ml ×2 
Clase Azul Reposado 750ml ×1</t>
    <phoneticPr fontId="2" type="noConversion"/>
  </si>
  <si>
    <t>Armand de Brignac 750ml ×2
Dom Pérignon 750ml ×3 
Moët &amp; Chandon 750ml ×3
Moët Impérial Rosé 750ml ×3 
Somos Añejo 750ml ×1
Clase Azul Reposado 750ml ×1</t>
    <phoneticPr fontId="2" type="noConversion"/>
  </si>
  <si>
    <t>Armand de Brignac 750ml ×3
Dom Pérignon 750ml ×4 
Moët &amp; Chandon 750ml ×3
Moët Impérial Rosé 750ml ×3 
Somos Añejo 750ml ×1
Clase Azul Reposado 750ml ×1</t>
    <phoneticPr fontId="2" type="noConversion"/>
  </si>
  <si>
    <t>Armand de Brignac 750ml ×4
Dom Pérignon 750ml ×4 
Moët &amp; Chandon 750ml ×3
Moët Impérial Rosé 750ml ×3 
Somos Añejo 750ml ×1
Clase Azul Reposado 750ml ×1</t>
    <phoneticPr fontId="2" type="noConversion"/>
  </si>
  <si>
    <t>Hospitality Package A</t>
  </si>
  <si>
    <t>Hospitality Package B</t>
  </si>
  <si>
    <t>Hospitality Package C</t>
  </si>
  <si>
    <t>Air Ticket + Transfer + VVIP Table</t>
  </si>
  <si>
    <t>Accommodations +  Transfer + VVIP Table</t>
  </si>
  <si>
    <t>Air Ticket + Accommodations + Transfer + VVIP Table</t>
  </si>
  <si>
    <t>7/25 Price (USD)</t>
    <phoneticPr fontId="2" type="noConversion"/>
  </si>
  <si>
    <t>7/25 Price (KRW)</t>
    <phoneticPr fontId="2" type="noConversion"/>
  </si>
  <si>
    <t>7/24 Price (USD)</t>
    <phoneticPr fontId="2" type="noConversion"/>
  </si>
  <si>
    <t>Hotel (소노캄 고양)</t>
    <phoneticPr fontId="2" type="noConversion"/>
  </si>
  <si>
    <t>Hotel room</t>
    <phoneticPr fontId="2" type="noConversion"/>
  </si>
  <si>
    <t>Hotel Breakfast</t>
    <phoneticPr fontId="2" type="noConversion"/>
  </si>
  <si>
    <t>Hotel (소노캄 고양)+조식
(Standard room*1 + Breakfast*2)</t>
    <phoneticPr fontId="2" type="noConversion"/>
  </si>
  <si>
    <t>Hotel Price</t>
    <phoneticPr fontId="2" type="noConversion"/>
  </si>
  <si>
    <t>(조식 25,000원)</t>
    <phoneticPr fontId="2" type="noConversion"/>
  </si>
  <si>
    <t>테이블+셔틀+호텔</t>
    <phoneticPr fontId="2" type="noConversion"/>
  </si>
  <si>
    <t>7/24 Price (USD)</t>
  </si>
  <si>
    <t>7/24 Price (KRW)</t>
  </si>
  <si>
    <t>7/24 Price (HKD)</t>
    <phoneticPr fontId="2" type="noConversion"/>
  </si>
  <si>
    <t>7/24 Price (TWD)</t>
    <phoneticPr fontId="2" type="noConversion"/>
  </si>
  <si>
    <t>7/24 Price (TWD)</t>
    <phoneticPr fontId="2" type="noConversion"/>
  </si>
  <si>
    <t>7/24 Price (CNY)</t>
    <phoneticPr fontId="2" type="noConversion"/>
  </si>
  <si>
    <t>7/25 Price (USD)</t>
  </si>
  <si>
    <t>7/25 Price (KRW)</t>
  </si>
  <si>
    <t>7/25 Price (HKD)</t>
    <phoneticPr fontId="2" type="noConversion"/>
  </si>
  <si>
    <t>7/25 Price (TWD)</t>
    <phoneticPr fontId="2" type="noConversion"/>
  </si>
  <si>
    <t>7/25 Price (CNY)</t>
    <phoneticPr fontId="2" type="noConversion"/>
  </si>
  <si>
    <t>7/26 Price (USD)</t>
  </si>
  <si>
    <t>7/26 Price (KRW)</t>
  </si>
  <si>
    <t>7/26 Price (HKD)</t>
    <phoneticPr fontId="2" type="noConversion"/>
  </si>
  <si>
    <t>7/26 Price (TWD)</t>
    <phoneticPr fontId="2" type="noConversion"/>
  </si>
  <si>
    <t>7/26 Price (TWD)</t>
    <phoneticPr fontId="2" type="noConversion"/>
  </si>
  <si>
    <t>7/26 Price (CNY)</t>
    <phoneticPr fontId="2" type="noConversion"/>
  </si>
  <si>
    <t>테이블+셔틀</t>
    <phoneticPr fontId="2" type="noConversion"/>
  </si>
  <si>
    <t>7/24 Price (HKD)</t>
    <phoneticPr fontId="2" type="noConversion"/>
  </si>
  <si>
    <t>7/24 Price (CNY)</t>
    <phoneticPr fontId="2" type="noConversion"/>
  </si>
  <si>
    <t>7/25 Price (HKD)</t>
    <phoneticPr fontId="2" type="noConversion"/>
  </si>
  <si>
    <t>7/25 Price (TWD)</t>
    <phoneticPr fontId="2" type="noConversion"/>
  </si>
  <si>
    <t>7/25 Price (CNY)</t>
    <phoneticPr fontId="2" type="noConversion"/>
  </si>
  <si>
    <t>7/26 Price (HKD)</t>
    <phoneticPr fontId="2" type="noConversion"/>
  </si>
  <si>
    <t>7/26 Price (CNY)</t>
    <phoneticPr fontId="2" type="noConversion"/>
  </si>
  <si>
    <t>7/24 Price (USD)</t>
    <phoneticPr fontId="2" type="noConversion"/>
  </si>
  <si>
    <t>7/24 Price (KRW)</t>
    <phoneticPr fontId="2" type="noConversion"/>
  </si>
  <si>
    <t>7/26 Price (USD)</t>
    <phoneticPr fontId="2" type="noConversion"/>
  </si>
  <si>
    <t>7/26 Price (KRW)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</si>
</sst>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$&quot;#,##0;[Red]\-&quot;$&quot;#,##0"/>
    <numFmt numFmtId="177" formatCode="#,##0_);[Red]\(#,##0\)"/>
    <numFmt numFmtId="178" formatCode="mm&quot;월&quot;\ dd&quot;일&quot;"/>
  </numFmts>
  <fonts count="9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2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177" fontId="0" fillId="0" borderId="0" xfId="0" applyNumberFormat="1"/>
    <xf numFmtId="177" fontId="5" fillId="0" borderId="0" xfId="0" applyNumberFormat="1" applyFont="1" applyBorder="1" applyAlignment="1">
      <alignment horizontal="center" vertical="center" wrapText="1"/>
    </xf>
    <xf numFmtId="177" fontId="4" fillId="7" borderId="0" xfId="0" applyNumberFormat="1" applyFont="1" applyFill="1" applyBorder="1" applyAlignment="1">
      <alignment horizontal="center" vertical="center" wrapText="1"/>
    </xf>
    <xf numFmtId="176" fontId="4" fillId="8" borderId="0" xfId="0" applyNumberFormat="1" applyFont="1" applyFill="1" applyBorder="1" applyAlignment="1">
      <alignment horizontal="center" vertical="center" wrapText="1"/>
    </xf>
    <xf numFmtId="177" fontId="4" fillId="8" borderId="0" xfId="0" applyNumberFormat="1" applyFont="1" applyFill="1" applyBorder="1" applyAlignment="1">
      <alignment horizontal="center" vertical="center" wrapText="1"/>
    </xf>
    <xf numFmtId="177" fontId="6" fillId="7" borderId="0" xfId="0" applyNumberFormat="1" applyFont="1" applyFill="1" applyBorder="1" applyAlignment="1">
      <alignment horizontal="center" vertical="center" wrapText="1"/>
    </xf>
    <xf numFmtId="177" fontId="6" fillId="8" borderId="0" xfId="0" applyNumberFormat="1" applyFont="1" applyFill="1" applyBorder="1" applyAlignment="1">
      <alignment horizontal="center" vertical="center" wrapText="1"/>
    </xf>
    <xf numFmtId="177" fontId="7" fillId="7" borderId="0" xfId="0" applyNumberFormat="1" applyFont="1" applyFill="1" applyAlignment="1">
      <alignment horizontal="center" vertical="center"/>
    </xf>
    <xf numFmtId="177" fontId="7" fillId="8" borderId="0" xfId="0" applyNumberFormat="1" applyFont="1" applyFill="1" applyAlignment="1">
      <alignment horizontal="center" vertical="center"/>
    </xf>
    <xf numFmtId="177" fontId="8" fillId="7" borderId="0" xfId="0" applyNumberFormat="1" applyFont="1" applyFill="1" applyAlignment="1">
      <alignment horizontal="center" vertical="center"/>
    </xf>
    <xf numFmtId="177" fontId="8" fillId="8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zoomScale="80" zoomScaleNormal="80" workbookViewId="0">
      <selection activeCell="B11" sqref="B11"/>
    </sheetView>
  </sheetViews>
  <sheetFormatPr defaultRowHeight="16.5" x14ac:dyDescent="0.3"/>
  <cols>
    <col min="1" max="1" width="28.5" customWidth="1"/>
    <col min="2" max="4" width="24" customWidth="1"/>
    <col min="5" max="6" width="30.25" customWidth="1"/>
    <col min="7" max="7" width="24" customWidth="1"/>
    <col min="8" max="8" width="27.5" customWidth="1"/>
    <col min="9" max="9" width="29.125" customWidth="1"/>
    <col min="10" max="10" width="24" customWidth="1"/>
    <col min="11" max="11" width="40.375" customWidth="1"/>
    <col min="12" max="12" width="24.875" customWidth="1"/>
    <col min="13" max="13" width="22.75" customWidth="1"/>
    <col min="14" max="14" width="27.75" customWidth="1"/>
  </cols>
  <sheetData>
    <row r="1" spans="1:14" ht="34.5" x14ac:dyDescent="0.3">
      <c r="A1" s="2" t="s">
        <v>0</v>
      </c>
      <c r="B1" s="3" t="s">
        <v>83</v>
      </c>
      <c r="C1" s="3" t="s">
        <v>84</v>
      </c>
      <c r="D1" s="4" t="s">
        <v>48</v>
      </c>
      <c r="E1" s="4" t="s">
        <v>49</v>
      </c>
      <c r="F1" s="5" t="s">
        <v>85</v>
      </c>
      <c r="G1" s="5" t="s">
        <v>86</v>
      </c>
      <c r="H1" s="2" t="s">
        <v>1</v>
      </c>
      <c r="I1" s="2" t="s">
        <v>2</v>
      </c>
      <c r="J1" s="2" t="s">
        <v>3</v>
      </c>
      <c r="K1" s="2" t="s">
        <v>4</v>
      </c>
      <c r="L1" s="1" t="s">
        <v>42</v>
      </c>
      <c r="M1" s="1" t="s">
        <v>43</v>
      </c>
      <c r="N1" s="1" t="s">
        <v>44</v>
      </c>
    </row>
    <row r="2" spans="1:14" ht="103.5" x14ac:dyDescent="0.3">
      <c r="A2" s="6" t="s">
        <v>5</v>
      </c>
      <c r="B2" s="7">
        <v>29600</v>
      </c>
      <c r="C2" s="7">
        <f>SUM(B2*1480)</f>
        <v>43808000</v>
      </c>
      <c r="D2" s="7">
        <v>31968</v>
      </c>
      <c r="E2" s="7">
        <f>SUM(D2*1480)</f>
        <v>47312640</v>
      </c>
      <c r="F2" s="7">
        <v>30784</v>
      </c>
      <c r="G2" s="7">
        <f>SUM(F2*1480)</f>
        <v>45560320</v>
      </c>
      <c r="H2" s="6">
        <v>30</v>
      </c>
      <c r="I2" s="6">
        <v>6</v>
      </c>
      <c r="J2" s="6">
        <v>2</v>
      </c>
      <c r="K2" s="6" t="s">
        <v>41</v>
      </c>
      <c r="L2" s="23" t="s">
        <v>45</v>
      </c>
      <c r="M2" s="23" t="s">
        <v>46</v>
      </c>
      <c r="N2" s="23" t="s">
        <v>47</v>
      </c>
    </row>
    <row r="3" spans="1:14" ht="103.5" x14ac:dyDescent="0.3">
      <c r="A3" s="6" t="s">
        <v>6</v>
      </c>
      <c r="B3" s="7">
        <v>24360</v>
      </c>
      <c r="C3" s="7">
        <f t="shared" ref="C3:C8" si="0">SUM(B3*1480)</f>
        <v>36052800</v>
      </c>
      <c r="D3" s="7">
        <v>26390</v>
      </c>
      <c r="E3" s="7">
        <f t="shared" ref="E3:E8" si="1">SUM(D3*1480)</f>
        <v>39057200</v>
      </c>
      <c r="F3" s="7">
        <v>25375</v>
      </c>
      <c r="G3" s="7">
        <f t="shared" ref="G3:G8" si="2">SUM(F3*1480)</f>
        <v>37555000</v>
      </c>
      <c r="H3" s="6">
        <v>15</v>
      </c>
      <c r="I3" s="6">
        <v>5</v>
      </c>
      <c r="J3" s="6">
        <v>5</v>
      </c>
      <c r="K3" s="6" t="s">
        <v>40</v>
      </c>
      <c r="L3" s="23" t="s">
        <v>45</v>
      </c>
      <c r="M3" s="23" t="s">
        <v>46</v>
      </c>
      <c r="N3" s="23" t="s">
        <v>47</v>
      </c>
    </row>
    <row r="4" spans="1:14" ht="103.5" x14ac:dyDescent="0.3">
      <c r="A4" s="6" t="s">
        <v>7</v>
      </c>
      <c r="B4" s="7">
        <v>20292</v>
      </c>
      <c r="C4" s="7">
        <f t="shared" si="0"/>
        <v>30032160</v>
      </c>
      <c r="D4" s="7">
        <v>21983</v>
      </c>
      <c r="E4" s="7">
        <f t="shared" si="1"/>
        <v>32534840</v>
      </c>
      <c r="F4" s="7">
        <v>21138</v>
      </c>
      <c r="G4" s="7">
        <f t="shared" si="2"/>
        <v>31284240</v>
      </c>
      <c r="H4" s="6">
        <v>15</v>
      </c>
      <c r="I4" s="6">
        <v>4</v>
      </c>
      <c r="J4" s="6">
        <v>5</v>
      </c>
      <c r="K4" s="6" t="s">
        <v>39</v>
      </c>
      <c r="L4" s="23" t="s">
        <v>45</v>
      </c>
      <c r="M4" s="23" t="s">
        <v>46</v>
      </c>
      <c r="N4" s="23" t="s">
        <v>47</v>
      </c>
    </row>
    <row r="5" spans="1:14" ht="86.25" x14ac:dyDescent="0.3">
      <c r="A5" s="6" t="s">
        <v>8</v>
      </c>
      <c r="B5" s="7">
        <v>15432</v>
      </c>
      <c r="C5" s="7">
        <f t="shared" si="0"/>
        <v>22839360</v>
      </c>
      <c r="D5" s="7">
        <v>16718</v>
      </c>
      <c r="E5" s="7">
        <f t="shared" si="1"/>
        <v>24742640</v>
      </c>
      <c r="F5" s="7">
        <v>16075</v>
      </c>
      <c r="G5" s="7">
        <f t="shared" si="2"/>
        <v>23791000</v>
      </c>
      <c r="H5" s="6">
        <v>12</v>
      </c>
      <c r="I5" s="6">
        <v>3</v>
      </c>
      <c r="J5" s="6">
        <v>5</v>
      </c>
      <c r="K5" s="6" t="s">
        <v>38</v>
      </c>
      <c r="L5" s="23" t="s">
        <v>45</v>
      </c>
      <c r="M5" s="23" t="s">
        <v>46</v>
      </c>
      <c r="N5" s="23" t="s">
        <v>47</v>
      </c>
    </row>
    <row r="6" spans="1:14" ht="69" x14ac:dyDescent="0.3">
      <c r="A6" s="6" t="s">
        <v>9</v>
      </c>
      <c r="B6" s="7">
        <v>12984</v>
      </c>
      <c r="C6" s="7">
        <f t="shared" si="0"/>
        <v>19216320</v>
      </c>
      <c r="D6" s="7">
        <v>14066</v>
      </c>
      <c r="E6" s="7">
        <f t="shared" si="1"/>
        <v>20817680</v>
      </c>
      <c r="F6" s="7">
        <v>13525</v>
      </c>
      <c r="G6" s="7">
        <f t="shared" si="2"/>
        <v>20017000</v>
      </c>
      <c r="H6" s="6">
        <v>12</v>
      </c>
      <c r="I6" s="6">
        <v>3</v>
      </c>
      <c r="J6" s="6">
        <v>5</v>
      </c>
      <c r="K6" s="6" t="s">
        <v>37</v>
      </c>
      <c r="L6" s="23" t="s">
        <v>45</v>
      </c>
      <c r="M6" s="23" t="s">
        <v>46</v>
      </c>
      <c r="N6" s="23" t="s">
        <v>47</v>
      </c>
    </row>
    <row r="7" spans="1:14" ht="34.5" x14ac:dyDescent="0.3">
      <c r="A7" s="6" t="s">
        <v>10</v>
      </c>
      <c r="B7" s="7">
        <v>7785.4999999999991</v>
      </c>
      <c r="C7" s="7">
        <f t="shared" si="0"/>
        <v>11522539.999999998</v>
      </c>
      <c r="D7" s="7">
        <v>8463</v>
      </c>
      <c r="E7" s="7">
        <f t="shared" si="1"/>
        <v>12525240</v>
      </c>
      <c r="F7" s="7">
        <v>8124</v>
      </c>
      <c r="G7" s="7">
        <f t="shared" si="2"/>
        <v>12023520</v>
      </c>
      <c r="H7" s="6">
        <v>8</v>
      </c>
      <c r="I7" s="6">
        <v>2</v>
      </c>
      <c r="J7" s="6">
        <v>12</v>
      </c>
      <c r="K7" s="6" t="s">
        <v>36</v>
      </c>
      <c r="L7" s="23" t="s">
        <v>45</v>
      </c>
      <c r="M7" s="23" t="s">
        <v>46</v>
      </c>
      <c r="N7" s="23" t="s">
        <v>47</v>
      </c>
    </row>
    <row r="8" spans="1:14" ht="34.5" x14ac:dyDescent="0.3">
      <c r="A8" s="6" t="s">
        <v>11</v>
      </c>
      <c r="B8" s="7">
        <v>4669</v>
      </c>
      <c r="C8" s="7">
        <f t="shared" si="0"/>
        <v>6910120</v>
      </c>
      <c r="D8" s="7">
        <v>5075</v>
      </c>
      <c r="E8" s="7">
        <f t="shared" si="1"/>
        <v>7511000</v>
      </c>
      <c r="F8" s="7">
        <v>4872</v>
      </c>
      <c r="G8" s="7">
        <f t="shared" si="2"/>
        <v>7210560</v>
      </c>
      <c r="H8" s="6">
        <v>6</v>
      </c>
      <c r="I8" s="6">
        <v>1</v>
      </c>
      <c r="J8" s="6">
        <v>12</v>
      </c>
      <c r="K8" s="6" t="s">
        <v>35</v>
      </c>
      <c r="L8" s="23" t="s">
        <v>45</v>
      </c>
      <c r="M8" s="23" t="s">
        <v>46</v>
      </c>
      <c r="N8" s="23" t="s">
        <v>47</v>
      </c>
    </row>
    <row r="11" spans="1:14" ht="17.25" x14ac:dyDescent="0.3">
      <c r="A11" s="8" t="s">
        <v>34</v>
      </c>
    </row>
    <row r="12" spans="1:14" ht="32.25" customHeight="1" x14ac:dyDescent="0.3">
      <c r="A12" s="2" t="s">
        <v>0</v>
      </c>
      <c r="B12" s="3" t="s">
        <v>83</v>
      </c>
      <c r="C12" s="3" t="s">
        <v>84</v>
      </c>
      <c r="D12" s="3" t="s">
        <v>33</v>
      </c>
      <c r="E12" s="3" t="s">
        <v>32</v>
      </c>
      <c r="F12" s="3" t="s">
        <v>31</v>
      </c>
      <c r="G12" s="3" t="s">
        <v>30</v>
      </c>
      <c r="H12" s="3" t="s">
        <v>29</v>
      </c>
      <c r="I12" s="3" t="s">
        <v>28</v>
      </c>
      <c r="J12" s="11"/>
      <c r="K12" s="11"/>
    </row>
    <row r="13" spans="1:14" ht="30" customHeight="1" x14ac:dyDescent="0.3">
      <c r="A13" s="6" t="s">
        <v>5</v>
      </c>
      <c r="B13" s="7">
        <f t="shared" ref="B13:B19" si="3">SUM(B2*10%+B2)</f>
        <v>32560</v>
      </c>
      <c r="C13" s="7">
        <f>SUM(B13*1480)</f>
        <v>48188800</v>
      </c>
      <c r="D13" s="7">
        <f t="shared" ref="D13:D19" si="4">SUM(B13*3.5%)</f>
        <v>1139.6000000000001</v>
      </c>
      <c r="E13" s="7">
        <f t="shared" ref="E13:E19" si="5">SUM(B13-D13)</f>
        <v>31420.400000000001</v>
      </c>
      <c r="F13" s="7">
        <f>SUM(E13*1480)</f>
        <v>46502192</v>
      </c>
      <c r="G13" s="7">
        <f t="shared" ref="G13:G19" si="6">SUM(B13*3%)</f>
        <v>976.8</v>
      </c>
      <c r="H13" s="7">
        <f t="shared" ref="H13:H19" si="7">SUM(B13-G13)</f>
        <v>31583.200000000001</v>
      </c>
      <c r="I13" s="7">
        <f>SUM(H13*1480)</f>
        <v>46743136</v>
      </c>
      <c r="J13" s="9"/>
      <c r="K13" s="9"/>
    </row>
    <row r="14" spans="1:14" ht="30" customHeight="1" x14ac:dyDescent="0.3">
      <c r="A14" s="6" t="s">
        <v>6</v>
      </c>
      <c r="B14" s="7">
        <f t="shared" si="3"/>
        <v>26796</v>
      </c>
      <c r="C14" s="7">
        <f t="shared" ref="C14:C19" si="8">SUM(B14*1480)</f>
        <v>39658080</v>
      </c>
      <c r="D14" s="7">
        <f t="shared" si="4"/>
        <v>937.86000000000013</v>
      </c>
      <c r="E14" s="7">
        <f t="shared" si="5"/>
        <v>25858.14</v>
      </c>
      <c r="F14" s="7">
        <f t="shared" ref="F14:F19" si="9">SUM(E14*1480)</f>
        <v>38270047.199999996</v>
      </c>
      <c r="G14" s="7">
        <f t="shared" si="6"/>
        <v>803.88</v>
      </c>
      <c r="H14" s="7">
        <f t="shared" si="7"/>
        <v>25992.12</v>
      </c>
      <c r="I14" s="7">
        <f t="shared" ref="I14:I19" si="10">SUM(H14*1480)</f>
        <v>38468337.600000001</v>
      </c>
      <c r="J14" s="9"/>
      <c r="K14" s="9"/>
    </row>
    <row r="15" spans="1:14" ht="30" customHeight="1" x14ac:dyDescent="0.3">
      <c r="A15" s="6" t="s">
        <v>7</v>
      </c>
      <c r="B15" s="7">
        <f t="shared" si="3"/>
        <v>22321.200000000001</v>
      </c>
      <c r="C15" s="7">
        <f t="shared" si="8"/>
        <v>33035376</v>
      </c>
      <c r="D15" s="7">
        <f t="shared" si="4"/>
        <v>781.24200000000008</v>
      </c>
      <c r="E15" s="7">
        <f t="shared" si="5"/>
        <v>21539.958000000002</v>
      </c>
      <c r="F15" s="7">
        <f t="shared" si="9"/>
        <v>31879137.840000004</v>
      </c>
      <c r="G15" s="7">
        <f t="shared" si="6"/>
        <v>669.63599999999997</v>
      </c>
      <c r="H15" s="7">
        <f t="shared" si="7"/>
        <v>21651.564000000002</v>
      </c>
      <c r="I15" s="7">
        <f t="shared" si="10"/>
        <v>32044314.720000003</v>
      </c>
      <c r="J15" s="9"/>
      <c r="K15" s="9"/>
    </row>
    <row r="16" spans="1:14" ht="30" customHeight="1" x14ac:dyDescent="0.3">
      <c r="A16" s="6" t="s">
        <v>8</v>
      </c>
      <c r="B16" s="7">
        <f t="shared" si="3"/>
        <v>16975.2</v>
      </c>
      <c r="C16" s="7">
        <f t="shared" si="8"/>
        <v>25123296</v>
      </c>
      <c r="D16" s="7">
        <f t="shared" si="4"/>
        <v>594.13200000000006</v>
      </c>
      <c r="E16" s="7">
        <f t="shared" si="5"/>
        <v>16381.068000000001</v>
      </c>
      <c r="F16" s="7">
        <f t="shared" si="9"/>
        <v>24243980.640000001</v>
      </c>
      <c r="G16" s="7">
        <f t="shared" si="6"/>
        <v>509.25600000000003</v>
      </c>
      <c r="H16" s="7">
        <f t="shared" si="7"/>
        <v>16465.944</v>
      </c>
      <c r="I16" s="7">
        <f t="shared" si="10"/>
        <v>24369597.120000001</v>
      </c>
      <c r="J16" s="9"/>
      <c r="K16" s="9"/>
    </row>
    <row r="17" spans="1:11" ht="30" customHeight="1" x14ac:dyDescent="0.3">
      <c r="A17" s="6" t="s">
        <v>9</v>
      </c>
      <c r="B17" s="7">
        <f t="shared" si="3"/>
        <v>14282.4</v>
      </c>
      <c r="C17" s="7">
        <f t="shared" si="8"/>
        <v>21137952</v>
      </c>
      <c r="D17" s="7">
        <f t="shared" si="4"/>
        <v>499.88400000000001</v>
      </c>
      <c r="E17" s="7">
        <f t="shared" si="5"/>
        <v>13782.516</v>
      </c>
      <c r="F17" s="7">
        <f t="shared" si="9"/>
        <v>20398123.68</v>
      </c>
      <c r="G17" s="7">
        <f t="shared" si="6"/>
        <v>428.47199999999998</v>
      </c>
      <c r="H17" s="7">
        <f t="shared" si="7"/>
        <v>13853.928</v>
      </c>
      <c r="I17" s="7">
        <f t="shared" si="10"/>
        <v>20503813.440000001</v>
      </c>
      <c r="J17" s="9"/>
      <c r="K17" s="9"/>
    </row>
    <row r="18" spans="1:11" ht="30" customHeight="1" x14ac:dyDescent="0.3">
      <c r="A18" s="6" t="s">
        <v>10</v>
      </c>
      <c r="B18" s="7">
        <f t="shared" si="3"/>
        <v>8564.0499999999993</v>
      </c>
      <c r="C18" s="7">
        <f t="shared" si="8"/>
        <v>12674793.999999998</v>
      </c>
      <c r="D18" s="7">
        <f t="shared" si="4"/>
        <v>299.74175000000002</v>
      </c>
      <c r="E18" s="7">
        <f t="shared" si="5"/>
        <v>8264.30825</v>
      </c>
      <c r="F18" s="7">
        <f t="shared" si="9"/>
        <v>12231176.210000001</v>
      </c>
      <c r="G18" s="7">
        <f t="shared" si="6"/>
        <v>256.92149999999998</v>
      </c>
      <c r="H18" s="7">
        <f t="shared" si="7"/>
        <v>8307.1284999999989</v>
      </c>
      <c r="I18" s="7">
        <f t="shared" si="10"/>
        <v>12294550.179999998</v>
      </c>
      <c r="J18" s="9"/>
      <c r="K18" s="9"/>
    </row>
    <row r="19" spans="1:11" ht="30" customHeight="1" x14ac:dyDescent="0.3">
      <c r="A19" s="6" t="s">
        <v>11</v>
      </c>
      <c r="B19" s="7">
        <f t="shared" si="3"/>
        <v>5135.8999999999996</v>
      </c>
      <c r="C19" s="7">
        <f t="shared" si="8"/>
        <v>7601131.9999999991</v>
      </c>
      <c r="D19" s="7">
        <f t="shared" si="4"/>
        <v>179.75650000000002</v>
      </c>
      <c r="E19" s="7">
        <f t="shared" si="5"/>
        <v>4956.1434999999992</v>
      </c>
      <c r="F19" s="7">
        <f t="shared" si="9"/>
        <v>7335092.379999999</v>
      </c>
      <c r="G19" s="7">
        <f t="shared" si="6"/>
        <v>154.07699999999997</v>
      </c>
      <c r="H19" s="7">
        <f t="shared" si="7"/>
        <v>4981.8229999999994</v>
      </c>
      <c r="I19" s="7">
        <f t="shared" si="10"/>
        <v>7373098.0399999991</v>
      </c>
      <c r="J19" s="9"/>
      <c r="K19" s="9"/>
    </row>
    <row r="22" spans="1:11" ht="17.25" x14ac:dyDescent="0.3">
      <c r="A22" s="8" t="s">
        <v>23</v>
      </c>
    </row>
    <row r="23" spans="1:11" ht="35.25" customHeight="1" x14ac:dyDescent="0.3">
      <c r="A23" s="2" t="s">
        <v>0</v>
      </c>
      <c r="B23" s="4" t="s">
        <v>48</v>
      </c>
      <c r="C23" s="4" t="s">
        <v>49</v>
      </c>
      <c r="D23" s="4" t="s">
        <v>22</v>
      </c>
      <c r="E23" s="4" t="s">
        <v>27</v>
      </c>
      <c r="F23" s="4" t="s">
        <v>26</v>
      </c>
      <c r="G23" s="4" t="s">
        <v>19</v>
      </c>
      <c r="H23" s="4" t="s">
        <v>25</v>
      </c>
      <c r="I23" s="4" t="s">
        <v>24</v>
      </c>
    </row>
    <row r="24" spans="1:11" ht="27.75" customHeight="1" x14ac:dyDescent="0.3">
      <c r="A24" s="6" t="s">
        <v>5</v>
      </c>
      <c r="B24" s="7">
        <f t="shared" ref="B24:B30" si="11">SUM(D2*10%+D2)</f>
        <v>35164.800000000003</v>
      </c>
      <c r="C24" s="7">
        <f>SUM(B24*1480)</f>
        <v>52043904.000000007</v>
      </c>
      <c r="D24" s="7">
        <f t="shared" ref="D24:D30" si="12">SUM(B24*3.5%)</f>
        <v>1230.7680000000003</v>
      </c>
      <c r="E24" s="7">
        <f t="shared" ref="E24:E30" si="13">SUM(B24-D24)</f>
        <v>33934.031999999999</v>
      </c>
      <c r="F24" s="7">
        <f>SUM(E24*1480)</f>
        <v>50222367.359999999</v>
      </c>
      <c r="G24" s="7">
        <f t="shared" ref="G24:G30" si="14">SUM(B24*3%)</f>
        <v>1054.944</v>
      </c>
      <c r="H24" s="7">
        <f t="shared" ref="H24:H30" si="15">SUM(B24-G24)</f>
        <v>34109.856</v>
      </c>
      <c r="I24" s="7">
        <f>SUM(H24*1480)</f>
        <v>50482586.880000003</v>
      </c>
    </row>
    <row r="25" spans="1:11" ht="27.75" customHeight="1" x14ac:dyDescent="0.3">
      <c r="A25" s="6" t="s">
        <v>6</v>
      </c>
      <c r="B25" s="7">
        <f t="shared" si="11"/>
        <v>29029</v>
      </c>
      <c r="C25" s="7">
        <f t="shared" ref="C25:C30" si="16">SUM(B25*1480)</f>
        <v>42962920</v>
      </c>
      <c r="D25" s="7">
        <f t="shared" si="12"/>
        <v>1016.0150000000001</v>
      </c>
      <c r="E25" s="7">
        <f t="shared" si="13"/>
        <v>28012.985000000001</v>
      </c>
      <c r="F25" s="7">
        <f t="shared" ref="F25:F29" si="17">SUM(E25*1480)</f>
        <v>41459217.800000004</v>
      </c>
      <c r="G25" s="7">
        <f t="shared" si="14"/>
        <v>870.87</v>
      </c>
      <c r="H25" s="7">
        <f t="shared" si="15"/>
        <v>28158.13</v>
      </c>
      <c r="I25" s="7">
        <f t="shared" ref="I25:I30" si="18">SUM(H25*1480)</f>
        <v>41674032.399999999</v>
      </c>
    </row>
    <row r="26" spans="1:11" ht="27.75" customHeight="1" x14ac:dyDescent="0.3">
      <c r="A26" s="6" t="s">
        <v>7</v>
      </c>
      <c r="B26" s="7">
        <f t="shared" si="11"/>
        <v>24181.3</v>
      </c>
      <c r="C26" s="7">
        <f t="shared" si="16"/>
        <v>35788324</v>
      </c>
      <c r="D26" s="7">
        <f t="shared" si="12"/>
        <v>846.34550000000002</v>
      </c>
      <c r="E26" s="7">
        <f t="shared" si="13"/>
        <v>23334.9545</v>
      </c>
      <c r="F26" s="7">
        <f t="shared" si="17"/>
        <v>34535732.659999996</v>
      </c>
      <c r="G26" s="7">
        <f t="shared" si="14"/>
        <v>725.43899999999996</v>
      </c>
      <c r="H26" s="7">
        <f t="shared" si="15"/>
        <v>23455.861000000001</v>
      </c>
      <c r="I26" s="7">
        <f t="shared" si="18"/>
        <v>34714674.280000001</v>
      </c>
    </row>
    <row r="27" spans="1:11" ht="27.75" customHeight="1" x14ac:dyDescent="0.3">
      <c r="A27" s="6" t="s">
        <v>8</v>
      </c>
      <c r="B27" s="7">
        <f t="shared" si="11"/>
        <v>18389.8</v>
      </c>
      <c r="C27" s="7">
        <f t="shared" si="16"/>
        <v>27216904</v>
      </c>
      <c r="D27" s="7">
        <f t="shared" si="12"/>
        <v>643.64300000000003</v>
      </c>
      <c r="E27" s="7">
        <f t="shared" si="13"/>
        <v>17746.156999999999</v>
      </c>
      <c r="F27" s="7">
        <f t="shared" si="17"/>
        <v>26264312.359999999</v>
      </c>
      <c r="G27" s="7">
        <f t="shared" si="14"/>
        <v>551.69399999999996</v>
      </c>
      <c r="H27" s="7">
        <f t="shared" si="15"/>
        <v>17838.106</v>
      </c>
      <c r="I27" s="7">
        <f t="shared" si="18"/>
        <v>26400396.879999999</v>
      </c>
    </row>
    <row r="28" spans="1:11" ht="27.75" customHeight="1" x14ac:dyDescent="0.3">
      <c r="A28" s="6" t="s">
        <v>9</v>
      </c>
      <c r="B28" s="7">
        <f t="shared" si="11"/>
        <v>15472.6</v>
      </c>
      <c r="C28" s="7">
        <f t="shared" si="16"/>
        <v>22899448</v>
      </c>
      <c r="D28" s="7">
        <f t="shared" si="12"/>
        <v>541.54100000000005</v>
      </c>
      <c r="E28" s="7">
        <f t="shared" si="13"/>
        <v>14931.059000000001</v>
      </c>
      <c r="F28" s="7">
        <f t="shared" si="17"/>
        <v>22097967.32</v>
      </c>
      <c r="G28" s="7">
        <f t="shared" si="14"/>
        <v>464.178</v>
      </c>
      <c r="H28" s="7">
        <f t="shared" si="15"/>
        <v>15008.422</v>
      </c>
      <c r="I28" s="7">
        <f t="shared" si="18"/>
        <v>22212464.560000002</v>
      </c>
    </row>
    <row r="29" spans="1:11" ht="27.75" customHeight="1" x14ac:dyDescent="0.3">
      <c r="A29" s="6" t="s">
        <v>10</v>
      </c>
      <c r="B29" s="7">
        <f t="shared" si="11"/>
        <v>9309.2999999999993</v>
      </c>
      <c r="C29" s="7">
        <f t="shared" si="16"/>
        <v>13777763.999999998</v>
      </c>
      <c r="D29" s="7">
        <f t="shared" si="12"/>
        <v>325.82550000000003</v>
      </c>
      <c r="E29" s="7">
        <f t="shared" si="13"/>
        <v>8983.4744999999984</v>
      </c>
      <c r="F29" s="7">
        <f t="shared" si="17"/>
        <v>13295542.259999998</v>
      </c>
      <c r="G29" s="7">
        <f t="shared" si="14"/>
        <v>279.27899999999994</v>
      </c>
      <c r="H29" s="7">
        <f t="shared" si="15"/>
        <v>9030.0209999999988</v>
      </c>
      <c r="I29" s="7">
        <f t="shared" si="18"/>
        <v>13364431.079999998</v>
      </c>
    </row>
    <row r="30" spans="1:11" ht="27.75" customHeight="1" x14ac:dyDescent="0.3">
      <c r="A30" s="6" t="s">
        <v>11</v>
      </c>
      <c r="B30" s="7">
        <f t="shared" si="11"/>
        <v>5582.5</v>
      </c>
      <c r="C30" s="7">
        <f t="shared" si="16"/>
        <v>8262100</v>
      </c>
      <c r="D30" s="7">
        <f t="shared" si="12"/>
        <v>195.38750000000002</v>
      </c>
      <c r="E30" s="7">
        <f t="shared" si="13"/>
        <v>5387.1125000000002</v>
      </c>
      <c r="F30" s="7">
        <f>SUM(E30*1480)</f>
        <v>7972926.5</v>
      </c>
      <c r="G30" s="7">
        <f t="shared" si="14"/>
        <v>167.47499999999999</v>
      </c>
      <c r="H30" s="7">
        <f t="shared" si="15"/>
        <v>5415.0249999999996</v>
      </c>
      <c r="I30" s="7">
        <f t="shared" si="18"/>
        <v>8014236.9999999991</v>
      </c>
    </row>
    <row r="31" spans="1:11" ht="17.25" x14ac:dyDescent="0.3">
      <c r="A31" s="10"/>
      <c r="B31" s="9"/>
      <c r="C31" s="9"/>
      <c r="D31" s="9"/>
    </row>
    <row r="33" spans="1:9" ht="17.25" x14ac:dyDescent="0.3">
      <c r="A33" s="8" t="s">
        <v>23</v>
      </c>
    </row>
    <row r="34" spans="1:9" ht="35.25" customHeight="1" x14ac:dyDescent="0.3">
      <c r="A34" s="2" t="s">
        <v>0</v>
      </c>
      <c r="B34" s="5" t="s">
        <v>85</v>
      </c>
      <c r="C34" s="5" t="s">
        <v>86</v>
      </c>
      <c r="D34" s="5" t="s">
        <v>22</v>
      </c>
      <c r="E34" s="5" t="s">
        <v>21</v>
      </c>
      <c r="F34" s="5" t="s">
        <v>20</v>
      </c>
      <c r="G34" s="5" t="s">
        <v>19</v>
      </c>
      <c r="H34" s="5" t="s">
        <v>18</v>
      </c>
      <c r="I34" s="5" t="s">
        <v>17</v>
      </c>
    </row>
    <row r="35" spans="1:9" ht="24" customHeight="1" x14ac:dyDescent="0.3">
      <c r="A35" s="6" t="s">
        <v>5</v>
      </c>
      <c r="B35" s="7">
        <f t="shared" ref="B35:B41" si="19">SUM(F2*10%+F2)</f>
        <v>33862.400000000001</v>
      </c>
      <c r="C35" s="7">
        <f>SUM(B35*1480)</f>
        <v>50116352</v>
      </c>
      <c r="D35" s="7">
        <f t="shared" ref="D35:D41" si="20">SUM(B35*3.5%)</f>
        <v>1185.1840000000002</v>
      </c>
      <c r="E35" s="7">
        <f t="shared" ref="E35:E41" si="21">SUM(B35-D35)</f>
        <v>32677.216</v>
      </c>
      <c r="F35" s="7">
        <f>SUM(E35*1480)</f>
        <v>48362279.68</v>
      </c>
      <c r="G35" s="7">
        <f t="shared" ref="G35:G41" si="22">SUM(B35*3%)</f>
        <v>1015.872</v>
      </c>
      <c r="H35" s="7">
        <f t="shared" ref="H35:H41" si="23">SUM(B35-G35)</f>
        <v>32846.527999999998</v>
      </c>
      <c r="I35" s="7">
        <f>SUM(H35*1480)</f>
        <v>48612861.439999998</v>
      </c>
    </row>
    <row r="36" spans="1:9" ht="24" customHeight="1" x14ac:dyDescent="0.3">
      <c r="A36" s="6" t="s">
        <v>6</v>
      </c>
      <c r="B36" s="7">
        <f t="shared" si="19"/>
        <v>27912.5</v>
      </c>
      <c r="C36" s="7">
        <f t="shared" ref="C36:C41" si="24">SUM(B36*1480)</f>
        <v>41310500</v>
      </c>
      <c r="D36" s="7">
        <f t="shared" si="20"/>
        <v>976.93750000000011</v>
      </c>
      <c r="E36" s="7">
        <f t="shared" si="21"/>
        <v>26935.5625</v>
      </c>
      <c r="F36" s="7">
        <f t="shared" ref="F36:F41" si="25">SUM(E36*1480)</f>
        <v>39864632.5</v>
      </c>
      <c r="G36" s="7">
        <f t="shared" si="22"/>
        <v>837.375</v>
      </c>
      <c r="H36" s="7">
        <f t="shared" si="23"/>
        <v>27075.125</v>
      </c>
      <c r="I36" s="7">
        <f t="shared" ref="I36:I41" si="26">SUM(H36*1480)</f>
        <v>40071185</v>
      </c>
    </row>
    <row r="37" spans="1:9" ht="24" customHeight="1" x14ac:dyDescent="0.3">
      <c r="A37" s="6" t="s">
        <v>7</v>
      </c>
      <c r="B37" s="7">
        <f t="shared" si="19"/>
        <v>23251.8</v>
      </c>
      <c r="C37" s="7">
        <f t="shared" si="24"/>
        <v>34412664</v>
      </c>
      <c r="D37" s="7">
        <f t="shared" si="20"/>
        <v>813.8130000000001</v>
      </c>
      <c r="E37" s="7">
        <f t="shared" si="21"/>
        <v>22437.987000000001</v>
      </c>
      <c r="F37" s="7">
        <f t="shared" si="25"/>
        <v>33208220.760000002</v>
      </c>
      <c r="G37" s="7">
        <f t="shared" si="22"/>
        <v>697.55399999999997</v>
      </c>
      <c r="H37" s="7">
        <f t="shared" si="23"/>
        <v>22554.245999999999</v>
      </c>
      <c r="I37" s="7">
        <f t="shared" si="26"/>
        <v>33380284.079999998</v>
      </c>
    </row>
    <row r="38" spans="1:9" ht="24" customHeight="1" x14ac:dyDescent="0.3">
      <c r="A38" s="6" t="s">
        <v>8</v>
      </c>
      <c r="B38" s="7">
        <f t="shared" si="19"/>
        <v>17682.5</v>
      </c>
      <c r="C38" s="7">
        <f t="shared" si="24"/>
        <v>26170100</v>
      </c>
      <c r="D38" s="7">
        <f t="shared" si="20"/>
        <v>618.88750000000005</v>
      </c>
      <c r="E38" s="7">
        <f t="shared" si="21"/>
        <v>17063.612499999999</v>
      </c>
      <c r="F38" s="7">
        <f t="shared" si="25"/>
        <v>25254146.5</v>
      </c>
      <c r="G38" s="7">
        <f t="shared" si="22"/>
        <v>530.47500000000002</v>
      </c>
      <c r="H38" s="7">
        <f t="shared" si="23"/>
        <v>17152.025000000001</v>
      </c>
      <c r="I38" s="7">
        <f t="shared" si="26"/>
        <v>25384997.000000004</v>
      </c>
    </row>
    <row r="39" spans="1:9" ht="24" customHeight="1" x14ac:dyDescent="0.3">
      <c r="A39" s="6" t="s">
        <v>9</v>
      </c>
      <c r="B39" s="7">
        <f t="shared" si="19"/>
        <v>14877.5</v>
      </c>
      <c r="C39" s="7">
        <f t="shared" si="24"/>
        <v>22018700</v>
      </c>
      <c r="D39" s="7">
        <f t="shared" si="20"/>
        <v>520.71250000000009</v>
      </c>
      <c r="E39" s="7">
        <f t="shared" si="21"/>
        <v>14356.7875</v>
      </c>
      <c r="F39" s="7">
        <f t="shared" si="25"/>
        <v>21248045.5</v>
      </c>
      <c r="G39" s="7">
        <f t="shared" si="22"/>
        <v>446.32499999999999</v>
      </c>
      <c r="H39" s="7">
        <f t="shared" si="23"/>
        <v>14431.174999999999</v>
      </c>
      <c r="I39" s="7">
        <f t="shared" si="26"/>
        <v>21358139</v>
      </c>
    </row>
    <row r="40" spans="1:9" ht="24" customHeight="1" x14ac:dyDescent="0.3">
      <c r="A40" s="6" t="s">
        <v>10</v>
      </c>
      <c r="B40" s="7">
        <f t="shared" si="19"/>
        <v>8936.4</v>
      </c>
      <c r="C40" s="7">
        <f t="shared" si="24"/>
        <v>13225872</v>
      </c>
      <c r="D40" s="7">
        <f t="shared" si="20"/>
        <v>312.774</v>
      </c>
      <c r="E40" s="7">
        <f t="shared" si="21"/>
        <v>8623.6260000000002</v>
      </c>
      <c r="F40" s="7">
        <f t="shared" si="25"/>
        <v>12762966.48</v>
      </c>
      <c r="G40" s="7">
        <f t="shared" si="22"/>
        <v>268.09199999999998</v>
      </c>
      <c r="H40" s="7">
        <f t="shared" si="23"/>
        <v>8668.3079999999991</v>
      </c>
      <c r="I40" s="7">
        <f t="shared" si="26"/>
        <v>12829095.839999998</v>
      </c>
    </row>
    <row r="41" spans="1:9" ht="24" customHeight="1" x14ac:dyDescent="0.3">
      <c r="A41" s="6" t="s">
        <v>11</v>
      </c>
      <c r="B41" s="7">
        <f t="shared" si="19"/>
        <v>5359.2</v>
      </c>
      <c r="C41" s="7">
        <f t="shared" si="24"/>
        <v>7931616</v>
      </c>
      <c r="D41" s="7">
        <f t="shared" si="20"/>
        <v>187.572</v>
      </c>
      <c r="E41" s="7">
        <f t="shared" si="21"/>
        <v>5171.6279999999997</v>
      </c>
      <c r="F41" s="7">
        <f t="shared" si="25"/>
        <v>7654009.4399999995</v>
      </c>
      <c r="G41" s="7">
        <f t="shared" si="22"/>
        <v>160.77599999999998</v>
      </c>
      <c r="H41" s="7">
        <f t="shared" si="23"/>
        <v>5198.424</v>
      </c>
      <c r="I41" s="7">
        <f t="shared" si="26"/>
        <v>7693667.5199999996</v>
      </c>
    </row>
  </sheetData>
  <phoneticPr fontId="2" type="noConversion"/>
  <pageMargins left="0.25" right="0.25" top="0.75" bottom="0.75" header="0.3" footer="0.3"/>
  <pageSetup paperSize="9" scale="4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="80" zoomScaleNormal="80" workbookViewId="0">
      <selection activeCell="D21" sqref="D21"/>
    </sheetView>
  </sheetViews>
  <sheetFormatPr defaultRowHeight="16.5" x14ac:dyDescent="0.3"/>
  <cols>
    <col min="1" max="1" width="28.5" customWidth="1"/>
    <col min="2" max="4" width="24" customWidth="1"/>
    <col min="5" max="5" width="30.25" customWidth="1"/>
    <col min="6" max="6" width="30.25" style="12" customWidth="1"/>
    <col min="7" max="7" width="24" customWidth="1"/>
    <col min="8" max="8" width="27.5" customWidth="1"/>
    <col min="9" max="9" width="29.125" customWidth="1"/>
    <col min="10" max="10" width="24" customWidth="1"/>
    <col min="11" max="11" width="40.375" customWidth="1"/>
    <col min="12" max="12" width="28" customWidth="1"/>
    <col min="13" max="13" width="25.375" customWidth="1"/>
    <col min="14" max="14" width="34.375" customWidth="1"/>
    <col min="15" max="16" width="18.25" bestFit="1" customWidth="1"/>
  </cols>
  <sheetData>
    <row r="1" spans="1:14" ht="34.5" x14ac:dyDescent="0.3">
      <c r="A1" s="2" t="s">
        <v>0</v>
      </c>
      <c r="B1" s="3" t="s">
        <v>83</v>
      </c>
      <c r="C1" s="3" t="s">
        <v>84</v>
      </c>
      <c r="D1" s="4" t="s">
        <v>48</v>
      </c>
      <c r="E1" s="4" t="s">
        <v>49</v>
      </c>
      <c r="F1" s="5" t="s">
        <v>85</v>
      </c>
      <c r="G1" s="5" t="s">
        <v>86</v>
      </c>
      <c r="H1" s="2" t="s">
        <v>1</v>
      </c>
      <c r="I1" s="2" t="s">
        <v>2</v>
      </c>
      <c r="J1" s="2" t="s">
        <v>3</v>
      </c>
      <c r="K1" s="2" t="s">
        <v>4</v>
      </c>
      <c r="L1" s="1" t="s">
        <v>42</v>
      </c>
      <c r="M1" s="1" t="s">
        <v>43</v>
      </c>
      <c r="N1" s="1" t="s">
        <v>44</v>
      </c>
    </row>
    <row r="2" spans="1:14" ht="103.5" x14ac:dyDescent="0.3">
      <c r="A2" s="6" t="s">
        <v>5</v>
      </c>
      <c r="B2" s="7">
        <f>SUM(29600-(29600*5%))</f>
        <v>28120</v>
      </c>
      <c r="C2" s="7">
        <f>SUM(B2*1480)</f>
        <v>41617600</v>
      </c>
      <c r="D2" s="7">
        <f>SUM(31968-(31968*5%))</f>
        <v>30369.599999999999</v>
      </c>
      <c r="E2" s="7">
        <f>SUM(D2*1480)</f>
        <v>44947008</v>
      </c>
      <c r="F2" s="7">
        <f>SUM(30784-(30784*5%))</f>
        <v>29244.799999999999</v>
      </c>
      <c r="G2" s="7">
        <f>SUM(F2*1480)</f>
        <v>43282304</v>
      </c>
      <c r="H2" s="6">
        <v>30</v>
      </c>
      <c r="I2" s="6">
        <v>6</v>
      </c>
      <c r="J2" s="6">
        <v>2</v>
      </c>
      <c r="K2" s="6" t="s">
        <v>41</v>
      </c>
      <c r="L2" s="23" t="s">
        <v>45</v>
      </c>
      <c r="M2" s="23" t="s">
        <v>46</v>
      </c>
      <c r="N2" s="23" t="s">
        <v>47</v>
      </c>
    </row>
    <row r="3" spans="1:14" ht="103.5" x14ac:dyDescent="0.3">
      <c r="A3" s="6" t="s">
        <v>6</v>
      </c>
      <c r="B3" s="7">
        <f>SUM(24360-(24360*5%))</f>
        <v>23142</v>
      </c>
      <c r="C3" s="7">
        <f t="shared" ref="C3:C8" si="0">SUM(B3*1480)</f>
        <v>34250160</v>
      </c>
      <c r="D3" s="7">
        <f>SUM(26390-(26390*5%))</f>
        <v>25070.5</v>
      </c>
      <c r="E3" s="7">
        <f t="shared" ref="E3:E8" si="1">SUM(D3*1480)</f>
        <v>37104340</v>
      </c>
      <c r="F3" s="7">
        <f>SUM(25375-(25375*5%))</f>
        <v>24106.25</v>
      </c>
      <c r="G3" s="7">
        <f t="shared" ref="G3:G8" si="2">SUM(F3*1480)</f>
        <v>35677250</v>
      </c>
      <c r="H3" s="6">
        <v>15</v>
      </c>
      <c r="I3" s="6">
        <v>5</v>
      </c>
      <c r="J3" s="6">
        <v>5</v>
      </c>
      <c r="K3" s="6" t="s">
        <v>40</v>
      </c>
      <c r="L3" s="23" t="s">
        <v>45</v>
      </c>
      <c r="M3" s="23" t="s">
        <v>46</v>
      </c>
      <c r="N3" s="23" t="s">
        <v>47</v>
      </c>
    </row>
    <row r="4" spans="1:14" ht="103.5" x14ac:dyDescent="0.3">
      <c r="A4" s="6" t="s">
        <v>7</v>
      </c>
      <c r="B4" s="7">
        <f>SUM(20292-(20292*5%))</f>
        <v>19277.400000000001</v>
      </c>
      <c r="C4" s="7">
        <f t="shared" si="0"/>
        <v>28530552.000000004</v>
      </c>
      <c r="D4" s="7">
        <f>SUM(21983-(21983*5%))</f>
        <v>20883.849999999999</v>
      </c>
      <c r="E4" s="7">
        <f t="shared" si="1"/>
        <v>30908097.999999996</v>
      </c>
      <c r="F4" s="7">
        <f>SUM(21138-(21138*5%))</f>
        <v>20081.099999999999</v>
      </c>
      <c r="G4" s="7">
        <f t="shared" si="2"/>
        <v>29720027.999999996</v>
      </c>
      <c r="H4" s="6">
        <v>15</v>
      </c>
      <c r="I4" s="6">
        <v>4</v>
      </c>
      <c r="J4" s="6">
        <v>5</v>
      </c>
      <c r="K4" s="6" t="s">
        <v>39</v>
      </c>
      <c r="L4" s="23" t="s">
        <v>45</v>
      </c>
      <c r="M4" s="23" t="s">
        <v>46</v>
      </c>
      <c r="N4" s="23" t="s">
        <v>47</v>
      </c>
    </row>
    <row r="5" spans="1:14" ht="86.25" x14ac:dyDescent="0.3">
      <c r="A5" s="6" t="s">
        <v>8</v>
      </c>
      <c r="B5" s="7">
        <f>SUM(15432-(15432*5%))</f>
        <v>14660.4</v>
      </c>
      <c r="C5" s="7">
        <f t="shared" si="0"/>
        <v>21697392</v>
      </c>
      <c r="D5" s="7">
        <f>SUM(16718-(16718*5%))</f>
        <v>15882.1</v>
      </c>
      <c r="E5" s="7">
        <f t="shared" si="1"/>
        <v>23505508</v>
      </c>
      <c r="F5" s="7">
        <f>SUM(16075-(16075*5%))</f>
        <v>15271.25</v>
      </c>
      <c r="G5" s="7">
        <f t="shared" si="2"/>
        <v>22601450</v>
      </c>
      <c r="H5" s="6">
        <v>12</v>
      </c>
      <c r="I5" s="6">
        <v>3</v>
      </c>
      <c r="J5" s="6">
        <v>5</v>
      </c>
      <c r="K5" s="6" t="s">
        <v>38</v>
      </c>
      <c r="L5" s="23" t="s">
        <v>45</v>
      </c>
      <c r="M5" s="23" t="s">
        <v>46</v>
      </c>
      <c r="N5" s="23" t="s">
        <v>47</v>
      </c>
    </row>
    <row r="6" spans="1:14" ht="69" x14ac:dyDescent="0.3">
      <c r="A6" s="6" t="s">
        <v>9</v>
      </c>
      <c r="B6" s="7">
        <f>SUM(12984-(12984*5%))</f>
        <v>12334.8</v>
      </c>
      <c r="C6" s="7">
        <f t="shared" si="0"/>
        <v>18255504</v>
      </c>
      <c r="D6" s="7">
        <f>SUM(14066-(14066*5%))</f>
        <v>13362.7</v>
      </c>
      <c r="E6" s="7">
        <f t="shared" si="1"/>
        <v>19776796</v>
      </c>
      <c r="F6" s="7">
        <f>SUM(13525-(13525*5%))</f>
        <v>12848.75</v>
      </c>
      <c r="G6" s="7">
        <f t="shared" si="2"/>
        <v>19016150</v>
      </c>
      <c r="H6" s="6">
        <v>12</v>
      </c>
      <c r="I6" s="6">
        <v>3</v>
      </c>
      <c r="J6" s="6">
        <v>5</v>
      </c>
      <c r="K6" s="6" t="s">
        <v>37</v>
      </c>
      <c r="L6" s="23" t="s">
        <v>45</v>
      </c>
      <c r="M6" s="23" t="s">
        <v>46</v>
      </c>
      <c r="N6" s="23" t="s">
        <v>47</v>
      </c>
    </row>
    <row r="7" spans="1:14" ht="34.5" x14ac:dyDescent="0.3">
      <c r="A7" s="6" t="s">
        <v>10</v>
      </c>
      <c r="B7" s="7">
        <f>SUM(7786-(7786*5%))</f>
        <v>7396.7</v>
      </c>
      <c r="C7" s="7">
        <f t="shared" si="0"/>
        <v>10947116</v>
      </c>
      <c r="D7" s="7">
        <f>SUM(8463-(8463*5%))</f>
        <v>8039.85</v>
      </c>
      <c r="E7" s="7">
        <f t="shared" si="1"/>
        <v>11898978</v>
      </c>
      <c r="F7" s="7">
        <f>SUM(8124-(8124*5%))</f>
        <v>7717.8</v>
      </c>
      <c r="G7" s="7">
        <f t="shared" si="2"/>
        <v>11422344</v>
      </c>
      <c r="H7" s="6">
        <v>8</v>
      </c>
      <c r="I7" s="6">
        <v>2</v>
      </c>
      <c r="J7" s="6">
        <v>12</v>
      </c>
      <c r="K7" s="6" t="s">
        <v>36</v>
      </c>
      <c r="L7" s="23" t="s">
        <v>45</v>
      </c>
      <c r="M7" s="23" t="s">
        <v>46</v>
      </c>
      <c r="N7" s="23" t="s">
        <v>47</v>
      </c>
    </row>
    <row r="8" spans="1:14" ht="34.5" x14ac:dyDescent="0.3">
      <c r="A8" s="6" t="s">
        <v>11</v>
      </c>
      <c r="B8" s="7">
        <f>SUM(4669-(4669*5%))</f>
        <v>4435.55</v>
      </c>
      <c r="C8" s="7">
        <f t="shared" si="0"/>
        <v>6564614</v>
      </c>
      <c r="D8" s="7">
        <f>SUM(5075-(5075*5%))</f>
        <v>4821.25</v>
      </c>
      <c r="E8" s="7">
        <f t="shared" si="1"/>
        <v>7135450</v>
      </c>
      <c r="F8" s="7">
        <f>SUM(4872-(4872*5%))</f>
        <v>4628.3999999999996</v>
      </c>
      <c r="G8" s="7">
        <f t="shared" si="2"/>
        <v>6850031.9999999991</v>
      </c>
      <c r="H8" s="6">
        <v>6</v>
      </c>
      <c r="I8" s="6">
        <v>1</v>
      </c>
      <c r="J8" s="6">
        <v>12</v>
      </c>
      <c r="K8" s="6" t="s">
        <v>35</v>
      </c>
      <c r="L8" s="23" t="s">
        <v>45</v>
      </c>
      <c r="M8" s="23" t="s">
        <v>46</v>
      </c>
      <c r="N8" s="23" t="s">
        <v>47</v>
      </c>
    </row>
    <row r="9" spans="1:14" x14ac:dyDescent="0.3">
      <c r="B9" s="12"/>
      <c r="C9" s="12"/>
      <c r="D9" s="12"/>
      <c r="E9" s="12"/>
      <c r="G9" s="12"/>
      <c r="H9" s="12"/>
      <c r="I9" s="12"/>
      <c r="J9" s="12"/>
    </row>
    <row r="10" spans="1:14" x14ac:dyDescent="0.3">
      <c r="B10" s="12"/>
      <c r="C10" s="12"/>
      <c r="D10" s="12"/>
      <c r="E10" s="12"/>
      <c r="G10" s="12"/>
      <c r="H10" s="12"/>
      <c r="I10" s="12"/>
      <c r="J10" s="12"/>
    </row>
    <row r="11" spans="1:14" ht="17.25" x14ac:dyDescent="0.3">
      <c r="A11" s="8" t="s">
        <v>12</v>
      </c>
      <c r="B11" s="12"/>
      <c r="C11" s="12"/>
      <c r="D11" s="12"/>
      <c r="E11" s="12"/>
      <c r="G11" s="12"/>
      <c r="H11" s="12"/>
      <c r="I11" s="12"/>
      <c r="J11" s="12"/>
      <c r="K11" s="9"/>
    </row>
    <row r="12" spans="1:14" ht="32.25" customHeight="1" x14ac:dyDescent="0.3">
      <c r="A12" s="2" t="s">
        <v>0</v>
      </c>
      <c r="B12" s="3" t="s">
        <v>83</v>
      </c>
      <c r="C12" s="3" t="s">
        <v>84</v>
      </c>
      <c r="D12" s="3" t="s">
        <v>33</v>
      </c>
      <c r="E12" s="3" t="s">
        <v>32</v>
      </c>
      <c r="F12" s="3" t="s">
        <v>31</v>
      </c>
      <c r="G12" s="3" t="s">
        <v>30</v>
      </c>
      <c r="H12" s="3" t="s">
        <v>29</v>
      </c>
      <c r="I12" s="3" t="s">
        <v>28</v>
      </c>
      <c r="J12" s="14" t="s">
        <v>13</v>
      </c>
      <c r="K12" s="15" t="s">
        <v>14</v>
      </c>
    </row>
    <row r="13" spans="1:14" ht="30" customHeight="1" x14ac:dyDescent="0.3">
      <c r="A13" s="6" t="s">
        <v>5</v>
      </c>
      <c r="B13" s="7">
        <f>SUM(B2*10%+B2)</f>
        <v>30932</v>
      </c>
      <c r="C13" s="7">
        <f>SUM(B13*1480)</f>
        <v>45779360</v>
      </c>
      <c r="D13" s="7">
        <f t="shared" ref="D13:D19" si="3">SUM(B13*3.5%)</f>
        <v>1082.6200000000001</v>
      </c>
      <c r="E13" s="7">
        <f t="shared" ref="E13:E19" si="4">SUM(B13-D13)</f>
        <v>29849.38</v>
      </c>
      <c r="F13" s="7">
        <f>SUM(E13*1480)</f>
        <v>44177082.399999999</v>
      </c>
      <c r="G13" s="7">
        <f t="shared" ref="G13:G19" si="5">SUM(B13*3%)</f>
        <v>927.95999999999992</v>
      </c>
      <c r="H13" s="7">
        <f t="shared" ref="H13:H19" si="6">SUM(B13-G13)</f>
        <v>30004.04</v>
      </c>
      <c r="I13" s="7">
        <f>SUM(H13*1480)</f>
        <v>44405979.200000003</v>
      </c>
      <c r="J13" s="14">
        <f>F13-C2</f>
        <v>2559482.3999999985</v>
      </c>
      <c r="K13" s="16">
        <f>I13-C2</f>
        <v>2788379.200000003</v>
      </c>
    </row>
    <row r="14" spans="1:14" ht="30" customHeight="1" x14ac:dyDescent="0.3">
      <c r="A14" s="6" t="s">
        <v>6</v>
      </c>
      <c r="B14" s="7">
        <f>SUM(B3*10%+B3)</f>
        <v>25456.2</v>
      </c>
      <c r="C14" s="7">
        <f t="shared" ref="C14:C19" si="7">SUM(B14*1480)</f>
        <v>37675176</v>
      </c>
      <c r="D14" s="7">
        <f t="shared" si="3"/>
        <v>890.9670000000001</v>
      </c>
      <c r="E14" s="7">
        <f t="shared" si="4"/>
        <v>24565.233</v>
      </c>
      <c r="F14" s="7">
        <f t="shared" ref="F14:F19" si="8">SUM(E14*1480)</f>
        <v>36356544.840000004</v>
      </c>
      <c r="G14" s="7">
        <f t="shared" si="5"/>
        <v>763.68600000000004</v>
      </c>
      <c r="H14" s="7">
        <f t="shared" si="6"/>
        <v>24692.513999999999</v>
      </c>
      <c r="I14" s="7">
        <f t="shared" ref="I14:I19" si="9">SUM(H14*1480)</f>
        <v>36544920.719999999</v>
      </c>
      <c r="J14" s="14">
        <f>F14-C3</f>
        <v>2106384.8400000036</v>
      </c>
      <c r="K14" s="16">
        <f t="shared" ref="K14:K19" si="10">I14-C3</f>
        <v>2294760.7199999988</v>
      </c>
    </row>
    <row r="15" spans="1:14" ht="30" customHeight="1" x14ac:dyDescent="0.3">
      <c r="A15" s="6" t="s">
        <v>7</v>
      </c>
      <c r="B15" s="7">
        <f>SUM(B4*10%+B4)</f>
        <v>21205.140000000003</v>
      </c>
      <c r="C15" s="7">
        <f t="shared" si="7"/>
        <v>31383607.200000003</v>
      </c>
      <c r="D15" s="7">
        <f t="shared" si="3"/>
        <v>742.1799000000002</v>
      </c>
      <c r="E15" s="7">
        <f t="shared" si="4"/>
        <v>20462.960100000004</v>
      </c>
      <c r="F15" s="7">
        <f t="shared" si="8"/>
        <v>30285180.948000006</v>
      </c>
      <c r="G15" s="7">
        <f t="shared" si="5"/>
        <v>636.15420000000006</v>
      </c>
      <c r="H15" s="7">
        <f t="shared" si="6"/>
        <v>20568.985800000002</v>
      </c>
      <c r="I15" s="7">
        <f t="shared" si="9"/>
        <v>30442098.984000005</v>
      </c>
      <c r="J15" s="14">
        <f t="shared" ref="J15:J19" si="11">F15-C4</f>
        <v>1754628.9480000027</v>
      </c>
      <c r="K15" s="16">
        <f t="shared" si="10"/>
        <v>1911546.9840000011</v>
      </c>
    </row>
    <row r="16" spans="1:14" ht="30" customHeight="1" x14ac:dyDescent="0.3">
      <c r="A16" s="6" t="s">
        <v>16</v>
      </c>
      <c r="B16" s="7">
        <f>SUM(B5*10%+B5)+388</f>
        <v>16514.439999999999</v>
      </c>
      <c r="C16" s="7">
        <f t="shared" si="7"/>
        <v>24441371.199999999</v>
      </c>
      <c r="D16" s="7">
        <f t="shared" si="3"/>
        <v>578.00540000000001</v>
      </c>
      <c r="E16" s="7">
        <f t="shared" si="4"/>
        <v>15936.434599999999</v>
      </c>
      <c r="F16" s="7">
        <f t="shared" si="8"/>
        <v>23585923.207999997</v>
      </c>
      <c r="G16" s="7">
        <f t="shared" si="5"/>
        <v>495.43319999999994</v>
      </c>
      <c r="H16" s="7">
        <f t="shared" si="6"/>
        <v>16019.006799999999</v>
      </c>
      <c r="I16" s="7">
        <f t="shared" si="9"/>
        <v>23708130.063999999</v>
      </c>
      <c r="J16" s="14">
        <f t="shared" si="11"/>
        <v>1888531.2079999968</v>
      </c>
      <c r="K16" s="16">
        <f t="shared" si="10"/>
        <v>2010738.0639999993</v>
      </c>
    </row>
    <row r="17" spans="1:11" ht="30" customHeight="1" x14ac:dyDescent="0.3">
      <c r="A17" s="6" t="s">
        <v>9</v>
      </c>
      <c r="B17" s="7">
        <f>SUM(B6*10%+B6)+388</f>
        <v>13956.279999999999</v>
      </c>
      <c r="C17" s="7">
        <f t="shared" si="7"/>
        <v>20655294.399999999</v>
      </c>
      <c r="D17" s="7">
        <f t="shared" si="3"/>
        <v>488.46980000000002</v>
      </c>
      <c r="E17" s="7">
        <f t="shared" si="4"/>
        <v>13467.810199999998</v>
      </c>
      <c r="F17" s="7">
        <f t="shared" si="8"/>
        <v>19932359.095999997</v>
      </c>
      <c r="G17" s="7">
        <f t="shared" si="5"/>
        <v>418.68839999999994</v>
      </c>
      <c r="H17" s="7">
        <f t="shared" si="6"/>
        <v>13537.5916</v>
      </c>
      <c r="I17" s="7">
        <f t="shared" si="9"/>
        <v>20035635.568</v>
      </c>
      <c r="J17" s="14">
        <f t="shared" si="11"/>
        <v>1676855.0959999971</v>
      </c>
      <c r="K17" s="16">
        <f t="shared" si="10"/>
        <v>1780131.568</v>
      </c>
    </row>
    <row r="18" spans="1:11" ht="30" customHeight="1" x14ac:dyDescent="0.3">
      <c r="A18" s="6" t="s">
        <v>10</v>
      </c>
      <c r="B18" s="7">
        <f>SUM(B7*10%+B7)+388</f>
        <v>8524.369999999999</v>
      </c>
      <c r="C18" s="7">
        <f t="shared" si="7"/>
        <v>12616067.599999998</v>
      </c>
      <c r="D18" s="7">
        <f t="shared" si="3"/>
        <v>298.35294999999996</v>
      </c>
      <c r="E18" s="7">
        <f t="shared" si="4"/>
        <v>8226.0170499999986</v>
      </c>
      <c r="F18" s="7">
        <f t="shared" si="8"/>
        <v>12174505.233999997</v>
      </c>
      <c r="G18" s="7">
        <f t="shared" si="5"/>
        <v>255.73109999999997</v>
      </c>
      <c r="H18" s="7">
        <f t="shared" si="6"/>
        <v>8268.6388999999981</v>
      </c>
      <c r="I18" s="7">
        <f t="shared" si="9"/>
        <v>12237585.571999997</v>
      </c>
      <c r="J18" s="17">
        <f t="shared" si="11"/>
        <v>1227389.2339999974</v>
      </c>
      <c r="K18" s="18">
        <f t="shared" si="10"/>
        <v>1290469.5719999969</v>
      </c>
    </row>
    <row r="19" spans="1:11" ht="30" customHeight="1" x14ac:dyDescent="0.3">
      <c r="A19" s="6" t="s">
        <v>11</v>
      </c>
      <c r="B19" s="7">
        <f>SUM(B8*10%+B8)+388</f>
        <v>5267.1050000000005</v>
      </c>
      <c r="C19" s="7">
        <f t="shared" si="7"/>
        <v>7795315.4000000004</v>
      </c>
      <c r="D19" s="7">
        <f t="shared" si="3"/>
        <v>184.34867500000004</v>
      </c>
      <c r="E19" s="7">
        <f t="shared" si="4"/>
        <v>5082.7563250000003</v>
      </c>
      <c r="F19" s="7">
        <f t="shared" si="8"/>
        <v>7522479.3610000005</v>
      </c>
      <c r="G19" s="7">
        <f t="shared" si="5"/>
        <v>158.01315</v>
      </c>
      <c r="H19" s="7">
        <f t="shared" si="6"/>
        <v>5109.0918500000007</v>
      </c>
      <c r="I19" s="7">
        <f t="shared" si="9"/>
        <v>7561455.938000001</v>
      </c>
      <c r="J19" s="17">
        <f t="shared" si="11"/>
        <v>957865.3610000005</v>
      </c>
      <c r="K19" s="18">
        <f t="shared" si="10"/>
        <v>996841.93800000101</v>
      </c>
    </row>
    <row r="20" spans="1:11" x14ac:dyDescent="0.3">
      <c r="B20" s="12"/>
      <c r="C20" s="12"/>
      <c r="D20" s="12"/>
      <c r="E20" s="12"/>
      <c r="G20" s="12"/>
      <c r="H20" s="12"/>
      <c r="I20" s="12"/>
      <c r="J20" s="12"/>
      <c r="K20" s="12"/>
    </row>
    <row r="21" spans="1:11" x14ac:dyDescent="0.3">
      <c r="B21" s="12"/>
      <c r="C21" s="12"/>
      <c r="D21" s="12"/>
      <c r="E21" s="12"/>
      <c r="G21" s="12"/>
      <c r="H21" s="12"/>
      <c r="I21" s="12"/>
      <c r="J21" s="12"/>
      <c r="K21" s="12"/>
    </row>
    <row r="22" spans="1:11" ht="17.25" x14ac:dyDescent="0.3">
      <c r="A22" s="8" t="s">
        <v>12</v>
      </c>
      <c r="B22" s="12"/>
      <c r="C22" s="12"/>
      <c r="D22" s="12"/>
      <c r="E22" s="12"/>
      <c r="G22" s="12"/>
      <c r="H22" s="12"/>
      <c r="I22" s="12"/>
      <c r="J22" s="12"/>
      <c r="K22" s="12"/>
    </row>
    <row r="23" spans="1:11" ht="35.25" customHeight="1" x14ac:dyDescent="0.3">
      <c r="A23" s="2" t="s">
        <v>0</v>
      </c>
      <c r="B23" s="4" t="s">
        <v>48</v>
      </c>
      <c r="C23" s="4" t="s">
        <v>49</v>
      </c>
      <c r="D23" s="4" t="s">
        <v>22</v>
      </c>
      <c r="E23" s="4" t="s">
        <v>27</v>
      </c>
      <c r="F23" s="4" t="s">
        <v>26</v>
      </c>
      <c r="G23" s="4" t="s">
        <v>19</v>
      </c>
      <c r="H23" s="4" t="s">
        <v>25</v>
      </c>
      <c r="I23" s="4" t="s">
        <v>24</v>
      </c>
      <c r="J23" s="14" t="s">
        <v>15</v>
      </c>
      <c r="K23" s="16" t="s">
        <v>14</v>
      </c>
    </row>
    <row r="24" spans="1:11" ht="27.75" customHeight="1" x14ac:dyDescent="0.3">
      <c r="A24" s="6" t="s">
        <v>5</v>
      </c>
      <c r="B24" s="7">
        <f>SUM(D2*10%+D2)</f>
        <v>33406.559999999998</v>
      </c>
      <c r="C24" s="7">
        <f>SUM(B24*1480)</f>
        <v>49441708.799999997</v>
      </c>
      <c r="D24" s="7">
        <f t="shared" ref="D24:D30" si="12">SUM(B24*3.5%)</f>
        <v>1169.2296000000001</v>
      </c>
      <c r="E24" s="7">
        <f t="shared" ref="E24:E30" si="13">SUM(B24-D24)</f>
        <v>32237.330399999999</v>
      </c>
      <c r="F24" s="7">
        <f>SUM(E24*1480)</f>
        <v>47711248.991999999</v>
      </c>
      <c r="G24" s="7">
        <f t="shared" ref="G24:G30" si="14">SUM(B24*3%)</f>
        <v>1002.1967999999999</v>
      </c>
      <c r="H24" s="7">
        <f t="shared" ref="H24:H30" si="15">SUM(B24-G24)</f>
        <v>32404.363199999996</v>
      </c>
      <c r="I24" s="7">
        <f>SUM(H24*1480)</f>
        <v>47958457.535999991</v>
      </c>
      <c r="J24" s="19">
        <f>F24-E2</f>
        <v>2764240.9919999987</v>
      </c>
      <c r="K24" s="20">
        <f>I24-E2</f>
        <v>3011449.535999991</v>
      </c>
    </row>
    <row r="25" spans="1:11" ht="27.75" customHeight="1" x14ac:dyDescent="0.3">
      <c r="A25" s="6" t="s">
        <v>6</v>
      </c>
      <c r="B25" s="7">
        <f>SUM(D3*10%+D3)</f>
        <v>27577.55</v>
      </c>
      <c r="C25" s="7">
        <f t="shared" ref="C25:C30" si="16">SUM(B25*1480)</f>
        <v>40814774</v>
      </c>
      <c r="D25" s="7">
        <f t="shared" si="12"/>
        <v>965.21425000000011</v>
      </c>
      <c r="E25" s="7">
        <f t="shared" si="13"/>
        <v>26612.335749999998</v>
      </c>
      <c r="F25" s="7">
        <f t="shared" ref="F25:F29" si="17">SUM(E25*1480)</f>
        <v>39386256.909999996</v>
      </c>
      <c r="G25" s="7">
        <f t="shared" si="14"/>
        <v>827.3264999999999</v>
      </c>
      <c r="H25" s="7">
        <f t="shared" si="15"/>
        <v>26750.2235</v>
      </c>
      <c r="I25" s="7">
        <f t="shared" ref="I25:I30" si="18">SUM(H25*1480)</f>
        <v>39590330.780000001</v>
      </c>
      <c r="J25" s="19">
        <f t="shared" ref="J25:J30" si="19">F25-E3</f>
        <v>2281916.9099999964</v>
      </c>
      <c r="K25" s="20">
        <f t="shared" ref="K25:K30" si="20">I25-E3</f>
        <v>2485990.7800000012</v>
      </c>
    </row>
    <row r="26" spans="1:11" ht="27.75" customHeight="1" x14ac:dyDescent="0.3">
      <c r="A26" s="6" t="s">
        <v>7</v>
      </c>
      <c r="B26" s="7">
        <f>SUM(D4*10%+D4)</f>
        <v>22972.234999999997</v>
      </c>
      <c r="C26" s="7">
        <f t="shared" si="16"/>
        <v>33998907.799999997</v>
      </c>
      <c r="D26" s="7">
        <f t="shared" si="12"/>
        <v>804.02822500000002</v>
      </c>
      <c r="E26" s="7">
        <f t="shared" si="13"/>
        <v>22168.206774999999</v>
      </c>
      <c r="F26" s="7">
        <f t="shared" si="17"/>
        <v>32808946.026999999</v>
      </c>
      <c r="G26" s="7">
        <f t="shared" si="14"/>
        <v>689.1670499999999</v>
      </c>
      <c r="H26" s="7">
        <f t="shared" si="15"/>
        <v>22283.067949999997</v>
      </c>
      <c r="I26" s="7">
        <f t="shared" si="18"/>
        <v>32978940.565999996</v>
      </c>
      <c r="J26" s="19">
        <f t="shared" si="19"/>
        <v>1900848.0270000026</v>
      </c>
      <c r="K26" s="20">
        <f t="shared" si="20"/>
        <v>2070842.5659999996</v>
      </c>
    </row>
    <row r="27" spans="1:11" ht="27.75" customHeight="1" x14ac:dyDescent="0.3">
      <c r="A27" s="6" t="s">
        <v>8</v>
      </c>
      <c r="B27" s="7">
        <f>SUM(D5*10%+D5)+388</f>
        <v>17858.310000000001</v>
      </c>
      <c r="C27" s="7">
        <f t="shared" si="16"/>
        <v>26430298.800000001</v>
      </c>
      <c r="D27" s="7">
        <f t="shared" si="12"/>
        <v>625.04085000000009</v>
      </c>
      <c r="E27" s="7">
        <f t="shared" si="13"/>
        <v>17233.26915</v>
      </c>
      <c r="F27" s="7">
        <f t="shared" si="17"/>
        <v>25505238.342</v>
      </c>
      <c r="G27" s="7">
        <f t="shared" si="14"/>
        <v>535.74930000000006</v>
      </c>
      <c r="H27" s="7">
        <f t="shared" si="15"/>
        <v>17322.560700000002</v>
      </c>
      <c r="I27" s="7">
        <f t="shared" si="18"/>
        <v>25637389.836000003</v>
      </c>
      <c r="J27" s="19">
        <f t="shared" si="19"/>
        <v>1999730.3420000002</v>
      </c>
      <c r="K27" s="20">
        <f t="shared" si="20"/>
        <v>2131881.8360000029</v>
      </c>
    </row>
    <row r="28" spans="1:11" ht="27.75" customHeight="1" x14ac:dyDescent="0.3">
      <c r="A28" s="6" t="s">
        <v>9</v>
      </c>
      <c r="B28" s="7">
        <f>SUM(D6*10%+D6)+388</f>
        <v>15086.970000000001</v>
      </c>
      <c r="C28" s="7">
        <f t="shared" si="16"/>
        <v>22328715.600000001</v>
      </c>
      <c r="D28" s="7">
        <f t="shared" si="12"/>
        <v>528.04395000000011</v>
      </c>
      <c r="E28" s="7">
        <f t="shared" si="13"/>
        <v>14558.926050000002</v>
      </c>
      <c r="F28" s="7">
        <f t="shared" si="17"/>
        <v>21547210.554000001</v>
      </c>
      <c r="G28" s="7">
        <f t="shared" si="14"/>
        <v>452.60910000000001</v>
      </c>
      <c r="H28" s="7">
        <f t="shared" si="15"/>
        <v>14634.360900000001</v>
      </c>
      <c r="I28" s="7">
        <f t="shared" si="18"/>
        <v>21658854.132000003</v>
      </c>
      <c r="J28" s="19">
        <f t="shared" si="19"/>
        <v>1770414.5540000014</v>
      </c>
      <c r="K28" s="20">
        <f t="shared" si="20"/>
        <v>1882058.132000003</v>
      </c>
    </row>
    <row r="29" spans="1:11" ht="27.75" customHeight="1" x14ac:dyDescent="0.3">
      <c r="A29" s="6" t="s">
        <v>10</v>
      </c>
      <c r="B29" s="7">
        <f>SUM(D7*10%+D7)+388</f>
        <v>9231.8350000000009</v>
      </c>
      <c r="C29" s="7">
        <f t="shared" si="16"/>
        <v>13663115.800000001</v>
      </c>
      <c r="D29" s="7">
        <f t="shared" si="12"/>
        <v>323.11422500000009</v>
      </c>
      <c r="E29" s="7">
        <f t="shared" si="13"/>
        <v>8908.7207750000016</v>
      </c>
      <c r="F29" s="7">
        <f t="shared" si="17"/>
        <v>13184906.747000003</v>
      </c>
      <c r="G29" s="7">
        <f t="shared" si="14"/>
        <v>276.95505000000003</v>
      </c>
      <c r="H29" s="7">
        <f t="shared" si="15"/>
        <v>8954.8799500000005</v>
      </c>
      <c r="I29" s="7">
        <f t="shared" si="18"/>
        <v>13253222.326000001</v>
      </c>
      <c r="J29" s="21">
        <f t="shared" si="19"/>
        <v>1285928.7470000032</v>
      </c>
      <c r="K29" s="22">
        <f t="shared" si="20"/>
        <v>1354244.3260000013</v>
      </c>
    </row>
    <row r="30" spans="1:11" ht="27.75" customHeight="1" x14ac:dyDescent="0.3">
      <c r="A30" s="6" t="s">
        <v>11</v>
      </c>
      <c r="B30" s="7">
        <f>SUM(D8*10%+D8)+388</f>
        <v>5691.375</v>
      </c>
      <c r="C30" s="7">
        <f t="shared" si="16"/>
        <v>8423235</v>
      </c>
      <c r="D30" s="7">
        <f t="shared" si="12"/>
        <v>199.19812500000003</v>
      </c>
      <c r="E30" s="7">
        <f t="shared" si="13"/>
        <v>5492.1768750000001</v>
      </c>
      <c r="F30" s="7">
        <f>SUM(E30*1480)</f>
        <v>8128421.7750000004</v>
      </c>
      <c r="G30" s="7">
        <f t="shared" si="14"/>
        <v>170.74124999999998</v>
      </c>
      <c r="H30" s="7">
        <f t="shared" si="15"/>
        <v>5520.63375</v>
      </c>
      <c r="I30" s="7">
        <f t="shared" si="18"/>
        <v>8170537.9500000002</v>
      </c>
      <c r="J30" s="21">
        <f t="shared" si="19"/>
        <v>992971.77500000037</v>
      </c>
      <c r="K30" s="22">
        <f t="shared" si="20"/>
        <v>1035087.9500000002</v>
      </c>
    </row>
    <row r="31" spans="1:11" ht="17.25" x14ac:dyDescent="0.3">
      <c r="A31" s="10"/>
      <c r="B31" s="13"/>
      <c r="C31" s="13"/>
      <c r="D31" s="13"/>
      <c r="E31" s="12"/>
      <c r="G31" s="12"/>
      <c r="H31" s="12"/>
      <c r="I31" s="12"/>
      <c r="J31" s="12"/>
      <c r="K31" s="12"/>
    </row>
    <row r="32" spans="1:11" x14ac:dyDescent="0.3">
      <c r="B32" s="12"/>
      <c r="C32" s="12"/>
      <c r="D32" s="12"/>
      <c r="E32" s="12"/>
      <c r="G32" s="12"/>
      <c r="H32" s="12"/>
      <c r="I32" s="12"/>
      <c r="J32" s="12"/>
      <c r="K32" s="12"/>
    </row>
    <row r="33" spans="1:11" ht="17.25" x14ac:dyDescent="0.3">
      <c r="A33" s="8" t="s">
        <v>12</v>
      </c>
      <c r="B33" s="12"/>
      <c r="C33" s="12"/>
      <c r="D33" s="12"/>
      <c r="E33" s="12"/>
      <c r="G33" s="12"/>
      <c r="H33" s="12"/>
      <c r="I33" s="12"/>
      <c r="J33" s="12"/>
      <c r="K33" s="12"/>
    </row>
    <row r="34" spans="1:11" ht="35.25" customHeight="1" x14ac:dyDescent="0.3">
      <c r="A34" s="2" t="s">
        <v>0</v>
      </c>
      <c r="B34" s="5" t="s">
        <v>85</v>
      </c>
      <c r="C34" s="5" t="s">
        <v>86</v>
      </c>
      <c r="D34" s="5" t="s">
        <v>22</v>
      </c>
      <c r="E34" s="5" t="s">
        <v>21</v>
      </c>
      <c r="F34" s="5" t="s">
        <v>20</v>
      </c>
      <c r="G34" s="5" t="s">
        <v>19</v>
      </c>
      <c r="H34" s="5" t="s">
        <v>18</v>
      </c>
      <c r="I34" s="5" t="s">
        <v>17</v>
      </c>
      <c r="J34" s="14" t="s">
        <v>13</v>
      </c>
      <c r="K34" s="16" t="s">
        <v>14</v>
      </c>
    </row>
    <row r="35" spans="1:11" ht="24" customHeight="1" x14ac:dyDescent="0.3">
      <c r="A35" s="6" t="s">
        <v>5</v>
      </c>
      <c r="B35" s="7">
        <f>SUM(F2*10%+F2)</f>
        <v>32169.279999999999</v>
      </c>
      <c r="C35" s="7">
        <f>SUM(B35*1480)</f>
        <v>47610534.399999999</v>
      </c>
      <c r="D35" s="7">
        <f t="shared" ref="D35:D41" si="21">SUM(B35*3.5%)</f>
        <v>1125.9248</v>
      </c>
      <c r="E35" s="7">
        <f t="shared" ref="E35:E41" si="22">SUM(B35-D35)</f>
        <v>31043.355199999998</v>
      </c>
      <c r="F35" s="7">
        <f>SUM(E35*1480)</f>
        <v>45944165.695999995</v>
      </c>
      <c r="G35" s="7">
        <f t="shared" ref="G35:G41" si="23">SUM(B35*3%)</f>
        <v>965.07839999999987</v>
      </c>
      <c r="H35" s="7">
        <f t="shared" ref="H35:H41" si="24">SUM(B35-G35)</f>
        <v>31204.2016</v>
      </c>
      <c r="I35" s="7">
        <f>SUM(H35*1480)</f>
        <v>46182218.368000001</v>
      </c>
      <c r="J35" s="19">
        <f>F35-G2</f>
        <v>2661861.6959999949</v>
      </c>
      <c r="K35" s="20">
        <f>I35-G2</f>
        <v>2899914.3680000007</v>
      </c>
    </row>
    <row r="36" spans="1:11" ht="24" customHeight="1" x14ac:dyDescent="0.3">
      <c r="A36" s="6" t="s">
        <v>6</v>
      </c>
      <c r="B36" s="7">
        <f>SUM(F3*10%+F3)</f>
        <v>26516.875</v>
      </c>
      <c r="C36" s="7">
        <f t="shared" ref="C36:C41" si="25">SUM(B36*1480)</f>
        <v>39244975</v>
      </c>
      <c r="D36" s="7">
        <f t="shared" si="21"/>
        <v>928.09062500000005</v>
      </c>
      <c r="E36" s="7">
        <f t="shared" si="22"/>
        <v>25588.784374999999</v>
      </c>
      <c r="F36" s="7">
        <f t="shared" ref="F36:F41" si="26">SUM(E36*1480)</f>
        <v>37871400.875</v>
      </c>
      <c r="G36" s="7">
        <f t="shared" si="23"/>
        <v>795.50625000000002</v>
      </c>
      <c r="H36" s="7">
        <f t="shared" si="24"/>
        <v>25721.368750000001</v>
      </c>
      <c r="I36" s="7">
        <f t="shared" ref="I36:I41" si="27">SUM(H36*1480)</f>
        <v>38067625.75</v>
      </c>
      <c r="J36" s="19">
        <f t="shared" ref="J36:J41" si="28">F36-G3</f>
        <v>2194150.875</v>
      </c>
      <c r="K36" s="20">
        <f t="shared" ref="K36:K41" si="29">I36-G3</f>
        <v>2390375.75</v>
      </c>
    </row>
    <row r="37" spans="1:11" ht="24" customHeight="1" x14ac:dyDescent="0.3">
      <c r="A37" s="6" t="s">
        <v>7</v>
      </c>
      <c r="B37" s="7">
        <f>SUM(F4*10%+F4)</f>
        <v>22089.21</v>
      </c>
      <c r="C37" s="7">
        <f t="shared" si="25"/>
        <v>32692030.799999997</v>
      </c>
      <c r="D37" s="7">
        <f t="shared" si="21"/>
        <v>773.1223500000001</v>
      </c>
      <c r="E37" s="7">
        <f t="shared" si="22"/>
        <v>21316.087649999998</v>
      </c>
      <c r="F37" s="7">
        <f t="shared" si="26"/>
        <v>31547809.721999995</v>
      </c>
      <c r="G37" s="7">
        <f t="shared" si="23"/>
        <v>662.67629999999997</v>
      </c>
      <c r="H37" s="7">
        <f t="shared" si="24"/>
        <v>21426.5337</v>
      </c>
      <c r="I37" s="7">
        <f t="shared" si="27"/>
        <v>31711269.875999998</v>
      </c>
      <c r="J37" s="19">
        <f t="shared" si="28"/>
        <v>1827781.7219999991</v>
      </c>
      <c r="K37" s="20">
        <f t="shared" si="29"/>
        <v>1991241.876000002</v>
      </c>
    </row>
    <row r="38" spans="1:11" ht="24" customHeight="1" x14ac:dyDescent="0.3">
      <c r="A38" s="6" t="s">
        <v>8</v>
      </c>
      <c r="B38" s="7">
        <f>SUM(F5*10%+F5)+388</f>
        <v>17186.375</v>
      </c>
      <c r="C38" s="7">
        <f t="shared" si="25"/>
        <v>25435835</v>
      </c>
      <c r="D38" s="7">
        <f t="shared" si="21"/>
        <v>601.52312500000005</v>
      </c>
      <c r="E38" s="7">
        <f t="shared" si="22"/>
        <v>16584.851875</v>
      </c>
      <c r="F38" s="7">
        <f t="shared" si="26"/>
        <v>24545580.775000002</v>
      </c>
      <c r="G38" s="7">
        <f t="shared" si="23"/>
        <v>515.59124999999995</v>
      </c>
      <c r="H38" s="7">
        <f t="shared" si="24"/>
        <v>16670.783749999999</v>
      </c>
      <c r="I38" s="7">
        <f t="shared" si="27"/>
        <v>24672759.949999999</v>
      </c>
      <c r="J38" s="19">
        <f t="shared" si="28"/>
        <v>1944130.7750000022</v>
      </c>
      <c r="K38" s="20">
        <f t="shared" si="29"/>
        <v>2071309.9499999993</v>
      </c>
    </row>
    <row r="39" spans="1:11" ht="24" customHeight="1" x14ac:dyDescent="0.3">
      <c r="A39" s="6" t="s">
        <v>9</v>
      </c>
      <c r="B39" s="7">
        <f>SUM(F6*10%+F6)+388</f>
        <v>14521.625</v>
      </c>
      <c r="C39" s="7">
        <f t="shared" si="25"/>
        <v>21492005</v>
      </c>
      <c r="D39" s="7">
        <f t="shared" si="21"/>
        <v>508.25687500000004</v>
      </c>
      <c r="E39" s="7">
        <f t="shared" si="22"/>
        <v>14013.368125000001</v>
      </c>
      <c r="F39" s="7">
        <f t="shared" si="26"/>
        <v>20739784.825000003</v>
      </c>
      <c r="G39" s="7">
        <f t="shared" si="23"/>
        <v>435.64875000000001</v>
      </c>
      <c r="H39" s="7">
        <f t="shared" si="24"/>
        <v>14085.97625</v>
      </c>
      <c r="I39" s="7">
        <f t="shared" si="27"/>
        <v>20847244.849999998</v>
      </c>
      <c r="J39" s="19">
        <f t="shared" si="28"/>
        <v>1723634.825000003</v>
      </c>
      <c r="K39" s="20">
        <f t="shared" si="29"/>
        <v>1831094.8499999978</v>
      </c>
    </row>
    <row r="40" spans="1:11" ht="24" customHeight="1" x14ac:dyDescent="0.3">
      <c r="A40" s="6" t="s">
        <v>10</v>
      </c>
      <c r="B40" s="7">
        <f>SUM(F7*10%+F7)+388</f>
        <v>8877.58</v>
      </c>
      <c r="C40" s="7">
        <f t="shared" si="25"/>
        <v>13138818.4</v>
      </c>
      <c r="D40" s="7">
        <f t="shared" si="21"/>
        <v>310.71530000000001</v>
      </c>
      <c r="E40" s="7">
        <f t="shared" si="22"/>
        <v>8566.8647000000001</v>
      </c>
      <c r="F40" s="7">
        <f t="shared" si="26"/>
        <v>12678959.756000001</v>
      </c>
      <c r="G40" s="7">
        <f t="shared" si="23"/>
        <v>266.32740000000001</v>
      </c>
      <c r="H40" s="7">
        <f t="shared" si="24"/>
        <v>8611.2525999999998</v>
      </c>
      <c r="I40" s="7">
        <f t="shared" si="27"/>
        <v>12744653.847999999</v>
      </c>
      <c r="J40" s="21">
        <f t="shared" si="28"/>
        <v>1256615.756000001</v>
      </c>
      <c r="K40" s="22">
        <f t="shared" si="29"/>
        <v>1322309.8479999993</v>
      </c>
    </row>
    <row r="41" spans="1:11" ht="24" customHeight="1" x14ac:dyDescent="0.3">
      <c r="A41" s="6" t="s">
        <v>11</v>
      </c>
      <c r="B41" s="7">
        <f>SUM(F8*10%+F8)+388</f>
        <v>5479.24</v>
      </c>
      <c r="C41" s="7">
        <f t="shared" si="25"/>
        <v>8109275.1999999993</v>
      </c>
      <c r="D41" s="7">
        <f t="shared" si="21"/>
        <v>191.77340000000001</v>
      </c>
      <c r="E41" s="7">
        <f t="shared" si="22"/>
        <v>5287.4665999999997</v>
      </c>
      <c r="F41" s="7">
        <f t="shared" si="26"/>
        <v>7825450.568</v>
      </c>
      <c r="G41" s="7">
        <f t="shared" si="23"/>
        <v>164.37719999999999</v>
      </c>
      <c r="H41" s="7">
        <f t="shared" si="24"/>
        <v>5314.8627999999999</v>
      </c>
      <c r="I41" s="7">
        <f t="shared" si="27"/>
        <v>7865996.9440000001</v>
      </c>
      <c r="J41" s="21">
        <f t="shared" si="28"/>
        <v>975418.5680000009</v>
      </c>
      <c r="K41" s="22">
        <f t="shared" si="29"/>
        <v>1015964.9440000011</v>
      </c>
    </row>
  </sheetData>
  <phoneticPr fontId="2" type="noConversion"/>
  <pageMargins left="0.25" right="0.25" top="0.75" bottom="0.75" header="0.3" footer="0.3"/>
  <pageSetup paperSize="9" scale="48" orientation="landscape" verticalDpi="0" r:id="rId1"/>
  <ignoredErrors>
    <ignoredError sqref="D2:D8 F2:F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zoomScale="80" zoomScaleNormal="80" workbookViewId="0">
      <selection activeCell="B2" sqref="B2"/>
    </sheetView>
  </sheetViews>
  <sheetFormatPr defaultRowHeight="16.5" x14ac:dyDescent="0.3"/>
  <cols>
    <col min="1" max="1" width="28.5" customWidth="1"/>
    <col min="2" max="4" width="24" customWidth="1"/>
    <col min="5" max="5" width="30.25" customWidth="1"/>
    <col min="6" max="6" width="30.25" style="12" customWidth="1"/>
    <col min="7" max="7" width="24" customWidth="1"/>
    <col min="8" max="8" width="27.5" customWidth="1"/>
    <col min="9" max="9" width="29.125" customWidth="1"/>
    <col min="10" max="10" width="24" customWidth="1"/>
    <col min="11" max="11" width="40.375" customWidth="1"/>
    <col min="12" max="12" width="32" customWidth="1"/>
    <col min="13" max="13" width="25.375" customWidth="1"/>
    <col min="14" max="14" width="34.375" customWidth="1"/>
    <col min="15" max="15" width="18.25" customWidth="1"/>
    <col min="16" max="16" width="18.25" bestFit="1" customWidth="1"/>
  </cols>
  <sheetData>
    <row r="1" spans="1:16" ht="34.5" x14ac:dyDescent="0.3">
      <c r="A1" s="2" t="s">
        <v>0</v>
      </c>
      <c r="B1" s="3" t="s">
        <v>58</v>
      </c>
      <c r="C1" s="3" t="s">
        <v>59</v>
      </c>
      <c r="D1" s="4" t="s">
        <v>64</v>
      </c>
      <c r="E1" s="4" t="s">
        <v>65</v>
      </c>
      <c r="F1" s="5" t="s">
        <v>69</v>
      </c>
      <c r="G1" s="5" t="s">
        <v>70</v>
      </c>
      <c r="H1" s="2" t="s">
        <v>1</v>
      </c>
      <c r="I1" s="2" t="s">
        <v>2</v>
      </c>
      <c r="J1" s="2" t="s">
        <v>3</v>
      </c>
      <c r="K1" s="2" t="s">
        <v>4</v>
      </c>
      <c r="L1" s="1" t="s">
        <v>42</v>
      </c>
      <c r="M1" s="1" t="s">
        <v>43</v>
      </c>
      <c r="N1" s="1" t="s">
        <v>44</v>
      </c>
      <c r="P1" s="26"/>
    </row>
    <row r="2" spans="1:16" ht="103.5" x14ac:dyDescent="0.3">
      <c r="A2" s="6" t="s">
        <v>5</v>
      </c>
      <c r="B2" s="7">
        <f>SUM(28120+B46)</f>
        <v>30207.837837837837</v>
      </c>
      <c r="C2" s="7">
        <f>SUM(B2*1480)</f>
        <v>44707600</v>
      </c>
      <c r="D2" s="7">
        <f>SUM(30369.6+D46)</f>
        <v>32842.572972972972</v>
      </c>
      <c r="E2" s="7">
        <f>SUM(D2*1480)</f>
        <v>48607008</v>
      </c>
      <c r="F2" s="7">
        <f>SUM(29244.8+F46)</f>
        <v>31281.962162162163</v>
      </c>
      <c r="G2" s="7">
        <f>SUM(F2*1480)</f>
        <v>46297304</v>
      </c>
      <c r="H2" s="6">
        <v>30</v>
      </c>
      <c r="I2" s="6">
        <v>6</v>
      </c>
      <c r="J2" s="6">
        <v>2</v>
      </c>
      <c r="K2" s="6" t="s">
        <v>41</v>
      </c>
      <c r="L2" s="23" t="s">
        <v>45</v>
      </c>
      <c r="M2" s="23" t="s">
        <v>46</v>
      </c>
      <c r="N2" s="23" t="s">
        <v>47</v>
      </c>
      <c r="P2" s="27"/>
    </row>
    <row r="3" spans="1:16" ht="103.5" x14ac:dyDescent="0.3">
      <c r="A3" s="6" t="s">
        <v>6</v>
      </c>
      <c r="B3" s="7">
        <f>SUM(23142+B47)</f>
        <v>24255.513513513513</v>
      </c>
      <c r="C3" s="7">
        <f t="shared" ref="C3:C8" si="0">SUM(B3*1480)</f>
        <v>35898160</v>
      </c>
      <c r="D3" s="7">
        <f>SUM(25070.5+D47)</f>
        <v>26389.41891891892</v>
      </c>
      <c r="E3" s="7">
        <f t="shared" ref="E3:E8" si="1">SUM(D3*1480)</f>
        <v>39056340</v>
      </c>
      <c r="F3" s="7">
        <f>SUM(24106.25+F47)</f>
        <v>25192.736486486487</v>
      </c>
      <c r="G3" s="7">
        <f t="shared" ref="G3:G8" si="2">SUM(F3*1480)</f>
        <v>37285250</v>
      </c>
      <c r="H3" s="6">
        <v>15</v>
      </c>
      <c r="I3" s="6">
        <v>5</v>
      </c>
      <c r="J3" s="6">
        <v>5</v>
      </c>
      <c r="K3" s="6" t="s">
        <v>40</v>
      </c>
      <c r="L3" s="23" t="s">
        <v>45</v>
      </c>
      <c r="M3" s="23" t="s">
        <v>46</v>
      </c>
      <c r="N3" s="23" t="s">
        <v>47</v>
      </c>
      <c r="P3" s="28"/>
    </row>
    <row r="4" spans="1:16" ht="103.5" x14ac:dyDescent="0.3">
      <c r="A4" s="6" t="s">
        <v>7</v>
      </c>
      <c r="B4" s="7">
        <f>SUM(19277.4+B48)</f>
        <v>20390.913513513515</v>
      </c>
      <c r="C4" s="7">
        <f t="shared" si="0"/>
        <v>30178552</v>
      </c>
      <c r="D4" s="7">
        <f>SUM(20883.85+D48)</f>
        <v>22202.768918918919</v>
      </c>
      <c r="E4" s="7">
        <f t="shared" si="1"/>
        <v>32860098</v>
      </c>
      <c r="F4" s="7">
        <f>SUM(20081.1+F48)</f>
        <v>21167.586486486485</v>
      </c>
      <c r="G4" s="7">
        <f t="shared" si="2"/>
        <v>31328028</v>
      </c>
      <c r="H4" s="6">
        <v>15</v>
      </c>
      <c r="I4" s="6">
        <v>4</v>
      </c>
      <c r="J4" s="6">
        <v>5</v>
      </c>
      <c r="K4" s="6" t="s">
        <v>39</v>
      </c>
      <c r="L4" s="23" t="s">
        <v>45</v>
      </c>
      <c r="M4" s="23" t="s">
        <v>46</v>
      </c>
      <c r="N4" s="23" t="s">
        <v>47</v>
      </c>
    </row>
    <row r="5" spans="1:16" ht="86.25" x14ac:dyDescent="0.3">
      <c r="A5" s="6" t="s">
        <v>8</v>
      </c>
      <c r="B5" s="7">
        <f>SUM(14660.4+B49)</f>
        <v>15495.535135135135</v>
      </c>
      <c r="C5" s="7">
        <f t="shared" si="0"/>
        <v>22933392</v>
      </c>
      <c r="D5" s="7">
        <f>SUM(15882.1+D49)</f>
        <v>16871.289189189189</v>
      </c>
      <c r="E5" s="7">
        <f t="shared" si="1"/>
        <v>24969508</v>
      </c>
      <c r="F5" s="7">
        <f>SUM(15271.25+F49)</f>
        <v>16086.114864864865</v>
      </c>
      <c r="G5" s="7">
        <f t="shared" si="2"/>
        <v>23807450</v>
      </c>
      <c r="H5" s="6">
        <v>12</v>
      </c>
      <c r="I5" s="6">
        <v>3</v>
      </c>
      <c r="J5" s="6">
        <v>5</v>
      </c>
      <c r="K5" s="6" t="s">
        <v>38</v>
      </c>
      <c r="L5" s="23" t="s">
        <v>45</v>
      </c>
      <c r="M5" s="23" t="s">
        <v>46</v>
      </c>
      <c r="N5" s="23" t="s">
        <v>47</v>
      </c>
    </row>
    <row r="6" spans="1:16" ht="69" x14ac:dyDescent="0.3">
      <c r="A6" s="6" t="s">
        <v>9</v>
      </c>
      <c r="B6" s="7">
        <f>SUM(12334.8+B50)</f>
        <v>13169.935135135134</v>
      </c>
      <c r="C6" s="7">
        <f t="shared" si="0"/>
        <v>19491504</v>
      </c>
      <c r="D6" s="7">
        <f>SUM(13362.7+D50)</f>
        <v>14351.889189189191</v>
      </c>
      <c r="E6" s="7">
        <f t="shared" si="1"/>
        <v>21240796.000000004</v>
      </c>
      <c r="F6" s="7">
        <f>SUM(12848.75+F50)</f>
        <v>13663.614864864865</v>
      </c>
      <c r="G6" s="7">
        <f t="shared" si="2"/>
        <v>20222150</v>
      </c>
      <c r="H6" s="6">
        <v>12</v>
      </c>
      <c r="I6" s="6">
        <v>3</v>
      </c>
      <c r="J6" s="6">
        <v>5</v>
      </c>
      <c r="K6" s="6" t="s">
        <v>37</v>
      </c>
      <c r="L6" s="23" t="s">
        <v>45</v>
      </c>
      <c r="M6" s="23" t="s">
        <v>46</v>
      </c>
      <c r="N6" s="23" t="s">
        <v>47</v>
      </c>
    </row>
    <row r="7" spans="1:16" ht="34.5" x14ac:dyDescent="0.3">
      <c r="A7" s="6" t="s">
        <v>10</v>
      </c>
      <c r="B7" s="7">
        <f>SUM(7396.7+B51)</f>
        <v>7953.4567567567565</v>
      </c>
      <c r="C7" s="7">
        <f t="shared" si="0"/>
        <v>11771116</v>
      </c>
      <c r="D7" s="7">
        <f>SUM(8039.85+D51)</f>
        <v>8699.3094594594604</v>
      </c>
      <c r="E7" s="7">
        <f t="shared" si="1"/>
        <v>12874978.000000002</v>
      </c>
      <c r="F7" s="7">
        <f>SUM(7717.8+F51)</f>
        <v>8261.0432432432426</v>
      </c>
      <c r="G7" s="7">
        <f t="shared" si="2"/>
        <v>12226344</v>
      </c>
      <c r="H7" s="6">
        <v>8</v>
      </c>
      <c r="I7" s="6">
        <v>2</v>
      </c>
      <c r="J7" s="6">
        <v>12</v>
      </c>
      <c r="K7" s="6" t="s">
        <v>36</v>
      </c>
      <c r="L7" s="23" t="s">
        <v>45</v>
      </c>
      <c r="M7" s="23" t="s">
        <v>46</v>
      </c>
      <c r="N7" s="23" t="s">
        <v>47</v>
      </c>
    </row>
    <row r="8" spans="1:16" ht="34.5" x14ac:dyDescent="0.3">
      <c r="A8" s="6" t="s">
        <v>11</v>
      </c>
      <c r="B8" s="7">
        <f>SUM(4435.55+B52)</f>
        <v>4853.1175675675677</v>
      </c>
      <c r="C8" s="7">
        <f t="shared" si="0"/>
        <v>7182614</v>
      </c>
      <c r="D8" s="7">
        <f>SUM(4821.25+D52)</f>
        <v>5315.844594594595</v>
      </c>
      <c r="E8" s="7">
        <f t="shared" si="1"/>
        <v>7867450.0000000009</v>
      </c>
      <c r="F8" s="7">
        <f>SUM(4628.4+F52)</f>
        <v>5035.8324324324321</v>
      </c>
      <c r="G8" s="7">
        <f t="shared" si="2"/>
        <v>7453032</v>
      </c>
      <c r="H8" s="6">
        <v>6</v>
      </c>
      <c r="I8" s="6">
        <v>1</v>
      </c>
      <c r="J8" s="6">
        <v>12</v>
      </c>
      <c r="K8" s="6" t="s">
        <v>35</v>
      </c>
      <c r="L8" s="23" t="s">
        <v>45</v>
      </c>
      <c r="M8" s="23" t="s">
        <v>46</v>
      </c>
      <c r="N8" s="23" t="s">
        <v>47</v>
      </c>
    </row>
    <row r="9" spans="1:16" x14ac:dyDescent="0.3">
      <c r="B9" s="12"/>
      <c r="C9" s="12"/>
      <c r="D9" s="12"/>
      <c r="E9" s="12"/>
      <c r="G9" s="12"/>
      <c r="H9" s="12"/>
      <c r="I9" s="12"/>
      <c r="J9" s="12"/>
    </row>
    <row r="10" spans="1:16" x14ac:dyDescent="0.3">
      <c r="B10" s="12"/>
      <c r="C10" s="12"/>
      <c r="D10" s="12"/>
      <c r="E10" s="12"/>
      <c r="G10" s="12"/>
      <c r="H10" s="12"/>
      <c r="I10" s="12"/>
      <c r="J10" s="12"/>
    </row>
    <row r="11" spans="1:16" ht="17.25" x14ac:dyDescent="0.3">
      <c r="A11" s="8" t="s">
        <v>12</v>
      </c>
      <c r="B11" s="12"/>
      <c r="C11" s="12"/>
      <c r="D11" s="12"/>
      <c r="E11" s="12"/>
      <c r="G11" s="12"/>
      <c r="H11" s="12"/>
      <c r="I11" s="12"/>
      <c r="J11" s="12"/>
      <c r="K11" s="9"/>
    </row>
    <row r="12" spans="1:16" ht="34.5" x14ac:dyDescent="0.3">
      <c r="A12" s="2" t="s">
        <v>0</v>
      </c>
      <c r="B12" s="3" t="s">
        <v>83</v>
      </c>
      <c r="C12" s="3" t="s">
        <v>84</v>
      </c>
      <c r="D12" s="3" t="s">
        <v>22</v>
      </c>
      <c r="E12" s="3" t="s">
        <v>32</v>
      </c>
      <c r="F12" s="3" t="s">
        <v>31</v>
      </c>
      <c r="G12" s="3" t="s">
        <v>19</v>
      </c>
      <c r="H12" s="3" t="s">
        <v>29</v>
      </c>
      <c r="I12" s="3" t="s">
        <v>28</v>
      </c>
      <c r="J12" s="14" t="s">
        <v>13</v>
      </c>
      <c r="K12" s="15" t="s">
        <v>14</v>
      </c>
      <c r="L12" s="26"/>
      <c r="M12" s="26"/>
    </row>
    <row r="13" spans="1:16" ht="34.5" customHeight="1" x14ac:dyDescent="0.3">
      <c r="A13" s="6" t="s">
        <v>5</v>
      </c>
      <c r="B13" s="7">
        <f>SUM(B2*10%+B2)</f>
        <v>33228.62162162162</v>
      </c>
      <c r="C13" s="7">
        <f>SUM(B13*1480)</f>
        <v>49178360</v>
      </c>
      <c r="D13" s="7">
        <f t="shared" ref="D13:D19" si="3">SUM(B13*3.5%)</f>
        <v>1163.0017567567568</v>
      </c>
      <c r="E13" s="7">
        <f t="shared" ref="E13:E19" si="4">SUM(B13-D13)</f>
        <v>32065.619864864864</v>
      </c>
      <c r="F13" s="7">
        <f>SUM(E13*1480)</f>
        <v>47457117.399999999</v>
      </c>
      <c r="G13" s="7">
        <f t="shared" ref="G13:G19" si="5">SUM(B13*3%)</f>
        <v>996.85864864864857</v>
      </c>
      <c r="H13" s="7">
        <f t="shared" ref="H13:H19" si="6">SUM(B13-G13)</f>
        <v>32231.762972972971</v>
      </c>
      <c r="I13" s="7">
        <f>SUM(H13*1480)</f>
        <v>47703009.199999996</v>
      </c>
      <c r="J13" s="14">
        <f>F13-C2</f>
        <v>2749517.3999999985</v>
      </c>
      <c r="K13" s="16">
        <f>I13-C2</f>
        <v>2995409.1999999955</v>
      </c>
      <c r="L13" s="27"/>
      <c r="M13" s="27"/>
    </row>
    <row r="14" spans="1:16" ht="30" customHeight="1" x14ac:dyDescent="0.3">
      <c r="A14" s="6" t="s">
        <v>6</v>
      </c>
      <c r="B14" s="7">
        <f>SUM(B3*10%+B3)</f>
        <v>26681.064864864864</v>
      </c>
      <c r="C14" s="7">
        <f t="shared" ref="C14:C19" si="7">SUM(B14*1480)</f>
        <v>39487976</v>
      </c>
      <c r="D14" s="7">
        <f t="shared" si="3"/>
        <v>933.83727027027032</v>
      </c>
      <c r="E14" s="7">
        <f t="shared" si="4"/>
        <v>25747.227594594595</v>
      </c>
      <c r="F14" s="7">
        <f t="shared" ref="F14:F19" si="8">SUM(E14*1480)</f>
        <v>38105896.840000004</v>
      </c>
      <c r="G14" s="7">
        <f t="shared" si="5"/>
        <v>800.43194594594593</v>
      </c>
      <c r="H14" s="7">
        <f t="shared" si="6"/>
        <v>25880.632918918916</v>
      </c>
      <c r="I14" s="7">
        <f t="shared" ref="I14:I19" si="9">SUM(H14*1480)</f>
        <v>38303336.719999999</v>
      </c>
      <c r="J14" s="14">
        <f>F14-C3</f>
        <v>2207736.8400000036</v>
      </c>
      <c r="K14" s="16">
        <f t="shared" ref="K14:K19" si="10">I14-C3</f>
        <v>2405176.7199999988</v>
      </c>
      <c r="M14" s="28"/>
    </row>
    <row r="15" spans="1:16" ht="30" customHeight="1" x14ac:dyDescent="0.3">
      <c r="A15" s="6" t="s">
        <v>7</v>
      </c>
      <c r="B15" s="7">
        <f>SUM(B4*10%+B4)</f>
        <v>22430.004864864866</v>
      </c>
      <c r="C15" s="7">
        <f t="shared" si="7"/>
        <v>33196407.200000003</v>
      </c>
      <c r="D15" s="7">
        <f t="shared" si="3"/>
        <v>785.05017027027043</v>
      </c>
      <c r="E15" s="7">
        <f t="shared" si="4"/>
        <v>21644.954694594595</v>
      </c>
      <c r="F15" s="7">
        <f t="shared" si="8"/>
        <v>32034532.947999999</v>
      </c>
      <c r="G15" s="7">
        <f t="shared" si="5"/>
        <v>672.90014594594595</v>
      </c>
      <c r="H15" s="7">
        <f t="shared" si="6"/>
        <v>21757.104718918919</v>
      </c>
      <c r="I15" s="7">
        <f t="shared" si="9"/>
        <v>32200514.984000001</v>
      </c>
      <c r="J15" s="14">
        <f t="shared" ref="J15:J19" si="11">F15-C4</f>
        <v>1855980.9479999989</v>
      </c>
      <c r="K15" s="16">
        <f t="shared" si="10"/>
        <v>2021962.9840000011</v>
      </c>
    </row>
    <row r="16" spans="1:16" ht="30" customHeight="1" x14ac:dyDescent="0.3">
      <c r="A16" s="6" t="s">
        <v>16</v>
      </c>
      <c r="B16" s="7">
        <f>SUM(B5*10%+B5)+388</f>
        <v>17433.088648648649</v>
      </c>
      <c r="C16" s="7">
        <f t="shared" si="7"/>
        <v>25800971.199999999</v>
      </c>
      <c r="D16" s="7">
        <f t="shared" si="3"/>
        <v>610.15810270270276</v>
      </c>
      <c r="E16" s="7">
        <f t="shared" si="4"/>
        <v>16822.930545945947</v>
      </c>
      <c r="F16" s="7">
        <f t="shared" si="8"/>
        <v>24897937.208000001</v>
      </c>
      <c r="G16" s="7">
        <f t="shared" si="5"/>
        <v>522.99265945945945</v>
      </c>
      <c r="H16" s="7">
        <f t="shared" si="6"/>
        <v>16910.095989189191</v>
      </c>
      <c r="I16" s="7">
        <f t="shared" si="9"/>
        <v>25026942.064000003</v>
      </c>
      <c r="J16" s="14">
        <f t="shared" si="11"/>
        <v>1964545.2080000006</v>
      </c>
      <c r="K16" s="16">
        <f t="shared" si="10"/>
        <v>2093550.064000003</v>
      </c>
    </row>
    <row r="17" spans="1:11" ht="30" customHeight="1" x14ac:dyDescent="0.3">
      <c r="A17" s="6" t="s">
        <v>9</v>
      </c>
      <c r="B17" s="7">
        <f>SUM(B6*10%+B6)+388</f>
        <v>14874.928648648647</v>
      </c>
      <c r="C17" s="7">
        <f t="shared" si="7"/>
        <v>22014894.399999999</v>
      </c>
      <c r="D17" s="7">
        <f t="shared" si="3"/>
        <v>520.62250270270272</v>
      </c>
      <c r="E17" s="7">
        <f t="shared" si="4"/>
        <v>14354.306145945944</v>
      </c>
      <c r="F17" s="7">
        <f t="shared" si="8"/>
        <v>21244373.095999997</v>
      </c>
      <c r="G17" s="7">
        <f t="shared" si="5"/>
        <v>446.24785945945939</v>
      </c>
      <c r="H17" s="7">
        <f t="shared" si="6"/>
        <v>14428.680789189188</v>
      </c>
      <c r="I17" s="7">
        <f t="shared" si="9"/>
        <v>21354447.567999996</v>
      </c>
      <c r="J17" s="14">
        <f t="shared" si="11"/>
        <v>1752869.0959999971</v>
      </c>
      <c r="K17" s="16">
        <f t="shared" si="10"/>
        <v>1862943.5679999962</v>
      </c>
    </row>
    <row r="18" spans="1:11" ht="30" customHeight="1" x14ac:dyDescent="0.3">
      <c r="A18" s="6" t="s">
        <v>10</v>
      </c>
      <c r="B18" s="7">
        <f>SUM(B7*10%+B7)+388</f>
        <v>9136.8024324324324</v>
      </c>
      <c r="C18" s="7">
        <f t="shared" si="7"/>
        <v>13522467.6</v>
      </c>
      <c r="D18" s="7">
        <f t="shared" si="3"/>
        <v>319.78808513513519</v>
      </c>
      <c r="E18" s="7">
        <f t="shared" si="4"/>
        <v>8817.0143472972977</v>
      </c>
      <c r="F18" s="7">
        <f t="shared" si="8"/>
        <v>13049181.234000001</v>
      </c>
      <c r="G18" s="7">
        <f t="shared" si="5"/>
        <v>274.10407297297297</v>
      </c>
      <c r="H18" s="7">
        <f t="shared" si="6"/>
        <v>8862.6983594594603</v>
      </c>
      <c r="I18" s="7">
        <f t="shared" si="9"/>
        <v>13116793.572000001</v>
      </c>
      <c r="J18" s="17">
        <f t="shared" si="11"/>
        <v>1278065.2340000011</v>
      </c>
      <c r="K18" s="18">
        <f t="shared" si="10"/>
        <v>1345677.5720000006</v>
      </c>
    </row>
    <row r="19" spans="1:11" ht="30" customHeight="1" x14ac:dyDescent="0.3">
      <c r="A19" s="6" t="s">
        <v>11</v>
      </c>
      <c r="B19" s="7">
        <f>SUM(B8*10%+B8)+388</f>
        <v>5726.4293243243246</v>
      </c>
      <c r="C19" s="7">
        <f t="shared" si="7"/>
        <v>8475115.4000000004</v>
      </c>
      <c r="D19" s="7">
        <f t="shared" si="3"/>
        <v>200.42502635135139</v>
      </c>
      <c r="E19" s="7">
        <f t="shared" si="4"/>
        <v>5526.0042979729733</v>
      </c>
      <c r="F19" s="7">
        <f t="shared" si="8"/>
        <v>8178486.3610000005</v>
      </c>
      <c r="G19" s="7">
        <f t="shared" si="5"/>
        <v>171.79287972972972</v>
      </c>
      <c r="H19" s="7">
        <f t="shared" si="6"/>
        <v>5554.6364445945946</v>
      </c>
      <c r="I19" s="7">
        <f t="shared" si="9"/>
        <v>8220861.9380000001</v>
      </c>
      <c r="J19" s="17">
        <f t="shared" si="11"/>
        <v>995872.3610000005</v>
      </c>
      <c r="K19" s="18">
        <f t="shared" si="10"/>
        <v>1038247.9380000001</v>
      </c>
    </row>
    <row r="20" spans="1:11" x14ac:dyDescent="0.3">
      <c r="B20" s="12"/>
      <c r="C20" s="12"/>
      <c r="D20" s="12"/>
      <c r="E20" s="12"/>
      <c r="G20" s="12"/>
      <c r="H20" s="12"/>
      <c r="I20" s="12"/>
      <c r="J20" s="12"/>
      <c r="K20" s="12"/>
    </row>
    <row r="21" spans="1:11" x14ac:dyDescent="0.3">
      <c r="B21" s="12"/>
      <c r="C21" s="12"/>
      <c r="D21" s="12"/>
      <c r="E21" s="12"/>
      <c r="G21" s="12"/>
      <c r="H21" s="12"/>
      <c r="I21" s="12"/>
      <c r="J21" s="12"/>
      <c r="K21" s="12"/>
    </row>
    <row r="22" spans="1:11" ht="17.25" x14ac:dyDescent="0.3">
      <c r="A22" s="8" t="s">
        <v>12</v>
      </c>
      <c r="B22" s="12"/>
      <c r="C22" s="12"/>
      <c r="D22" s="12"/>
      <c r="E22" s="12"/>
      <c r="G22" s="12"/>
      <c r="H22" s="12"/>
      <c r="I22" s="12"/>
      <c r="J22" s="12"/>
      <c r="K22" s="12"/>
    </row>
    <row r="23" spans="1:11" ht="35.25" customHeight="1" x14ac:dyDescent="0.3">
      <c r="A23" s="2" t="s">
        <v>0</v>
      </c>
      <c r="B23" s="4" t="s">
        <v>48</v>
      </c>
      <c r="C23" s="4" t="s">
        <v>49</v>
      </c>
      <c r="D23" s="4" t="s">
        <v>22</v>
      </c>
      <c r="E23" s="4" t="s">
        <v>27</v>
      </c>
      <c r="F23" s="4" t="s">
        <v>26</v>
      </c>
      <c r="G23" s="4" t="s">
        <v>19</v>
      </c>
      <c r="H23" s="4" t="s">
        <v>25</v>
      </c>
      <c r="I23" s="4" t="s">
        <v>24</v>
      </c>
      <c r="J23" s="14" t="s">
        <v>13</v>
      </c>
      <c r="K23" s="16" t="s">
        <v>14</v>
      </c>
    </row>
    <row r="24" spans="1:11" ht="27.75" customHeight="1" x14ac:dyDescent="0.3">
      <c r="A24" s="6" t="s">
        <v>5</v>
      </c>
      <c r="B24" s="7">
        <f>SUM(D2*10%+D2)</f>
        <v>36126.830270270271</v>
      </c>
      <c r="C24" s="7">
        <f>SUM(B24*1480)</f>
        <v>53467708.800000004</v>
      </c>
      <c r="D24" s="7">
        <f t="shared" ref="D24:D30" si="12">SUM(B24*3.5%)</f>
        <v>1264.4390594594597</v>
      </c>
      <c r="E24" s="7">
        <f t="shared" ref="E24:E30" si="13">SUM(B24-D24)</f>
        <v>34862.391210810812</v>
      </c>
      <c r="F24" s="7">
        <f>SUM(E24*1480)</f>
        <v>51596338.992000006</v>
      </c>
      <c r="G24" s="7">
        <f t="shared" ref="G24:G30" si="14">SUM(B24*3%)</f>
        <v>1083.8049081081081</v>
      </c>
      <c r="H24" s="7">
        <f t="shared" ref="H24:H30" si="15">SUM(B24-G24)</f>
        <v>35043.025362162167</v>
      </c>
      <c r="I24" s="7">
        <f>SUM(H24*1480)</f>
        <v>51863677.536000006</v>
      </c>
      <c r="J24" s="19">
        <f>F24-E2</f>
        <v>2989330.9920000061</v>
      </c>
      <c r="K24" s="20">
        <f>I24-E2</f>
        <v>3256669.5360000059</v>
      </c>
    </row>
    <row r="25" spans="1:11" ht="27.75" customHeight="1" x14ac:dyDescent="0.3">
      <c r="A25" s="6" t="s">
        <v>6</v>
      </c>
      <c r="B25" s="7">
        <f>SUM(D3*10%+D3)</f>
        <v>29028.360810810813</v>
      </c>
      <c r="C25" s="7">
        <f t="shared" ref="C25:C30" si="16">SUM(B25*1480)</f>
        <v>42961974</v>
      </c>
      <c r="D25" s="7">
        <f t="shared" si="12"/>
        <v>1015.9926283783785</v>
      </c>
      <c r="E25" s="7">
        <f t="shared" si="13"/>
        <v>28012.368182432434</v>
      </c>
      <c r="F25" s="7">
        <f t="shared" ref="F25:F29" si="17">SUM(E25*1480)</f>
        <v>41458304.910000004</v>
      </c>
      <c r="G25" s="7">
        <f t="shared" si="14"/>
        <v>870.85082432432432</v>
      </c>
      <c r="H25" s="7">
        <f t="shared" si="15"/>
        <v>28157.50998648649</v>
      </c>
      <c r="I25" s="7">
        <f t="shared" ref="I25:I30" si="18">SUM(H25*1480)</f>
        <v>41673114.780000001</v>
      </c>
      <c r="J25" s="19">
        <f t="shared" ref="J25:J30" si="19">F25-E3</f>
        <v>2401964.9100000039</v>
      </c>
      <c r="K25" s="20">
        <f t="shared" ref="K25:K30" si="20">I25-E3</f>
        <v>2616774.7800000012</v>
      </c>
    </row>
    <row r="26" spans="1:11" ht="27.75" customHeight="1" x14ac:dyDescent="0.3">
      <c r="A26" s="6" t="s">
        <v>7</v>
      </c>
      <c r="B26" s="7">
        <f>SUM(D4*10%+D4)</f>
        <v>24423.045810810811</v>
      </c>
      <c r="C26" s="7">
        <f t="shared" si="16"/>
        <v>36146107.799999997</v>
      </c>
      <c r="D26" s="7">
        <f t="shared" si="12"/>
        <v>854.80660337837844</v>
      </c>
      <c r="E26" s="7">
        <f t="shared" si="13"/>
        <v>23568.239207432431</v>
      </c>
      <c r="F26" s="7">
        <f t="shared" si="17"/>
        <v>34880994.026999995</v>
      </c>
      <c r="G26" s="7">
        <f t="shared" si="14"/>
        <v>732.69137432432433</v>
      </c>
      <c r="H26" s="7">
        <f t="shared" si="15"/>
        <v>23690.354436486487</v>
      </c>
      <c r="I26" s="7">
        <f t="shared" si="18"/>
        <v>35061724.566</v>
      </c>
      <c r="J26" s="19">
        <f t="shared" si="19"/>
        <v>2020896.0269999951</v>
      </c>
      <c r="K26" s="20">
        <f t="shared" si="20"/>
        <v>2201626.5659999996</v>
      </c>
    </row>
    <row r="27" spans="1:11" ht="27.75" customHeight="1" x14ac:dyDescent="0.3">
      <c r="A27" s="6" t="s">
        <v>8</v>
      </c>
      <c r="B27" s="7">
        <f>SUM(D5*10%+D5)+388</f>
        <v>18946.418108108108</v>
      </c>
      <c r="C27" s="7">
        <f t="shared" si="16"/>
        <v>28040698.800000001</v>
      </c>
      <c r="D27" s="7">
        <f t="shared" si="12"/>
        <v>663.12463378378379</v>
      </c>
      <c r="E27" s="7">
        <f t="shared" si="13"/>
        <v>18283.293474324324</v>
      </c>
      <c r="F27" s="7">
        <f t="shared" si="17"/>
        <v>27059274.342</v>
      </c>
      <c r="G27" s="7">
        <f t="shared" si="14"/>
        <v>568.39254324324327</v>
      </c>
      <c r="H27" s="7">
        <f t="shared" si="15"/>
        <v>18378.025564864864</v>
      </c>
      <c r="I27" s="7">
        <f t="shared" si="18"/>
        <v>27199477.835999999</v>
      </c>
      <c r="J27" s="19">
        <f t="shared" si="19"/>
        <v>2089766.3420000002</v>
      </c>
      <c r="K27" s="20">
        <f t="shared" si="20"/>
        <v>2229969.8359999992</v>
      </c>
    </row>
    <row r="28" spans="1:11" ht="27.75" customHeight="1" x14ac:dyDescent="0.3">
      <c r="A28" s="6" t="s">
        <v>9</v>
      </c>
      <c r="B28" s="7">
        <f>SUM(D6*10%+D6)+388</f>
        <v>16175.07810810811</v>
      </c>
      <c r="C28" s="7">
        <f t="shared" si="16"/>
        <v>23939115.600000001</v>
      </c>
      <c r="D28" s="7">
        <f t="shared" si="12"/>
        <v>566.12773378378392</v>
      </c>
      <c r="E28" s="7">
        <f t="shared" si="13"/>
        <v>15608.950374324326</v>
      </c>
      <c r="F28" s="7">
        <f t="shared" si="17"/>
        <v>23101246.554000001</v>
      </c>
      <c r="G28" s="7">
        <f t="shared" si="14"/>
        <v>485.25234324324327</v>
      </c>
      <c r="H28" s="7">
        <f t="shared" si="15"/>
        <v>15689.825764864867</v>
      </c>
      <c r="I28" s="7">
        <f t="shared" si="18"/>
        <v>23220942.132000003</v>
      </c>
      <c r="J28" s="19">
        <f t="shared" si="19"/>
        <v>1860450.5539999977</v>
      </c>
      <c r="K28" s="20">
        <f t="shared" si="20"/>
        <v>1980146.1319999993</v>
      </c>
    </row>
    <row r="29" spans="1:11" ht="27.75" customHeight="1" x14ac:dyDescent="0.3">
      <c r="A29" s="6" t="s">
        <v>10</v>
      </c>
      <c r="B29" s="7">
        <f>SUM(D7*10%+D7)+388</f>
        <v>9957.2404054054059</v>
      </c>
      <c r="C29" s="7">
        <f t="shared" si="16"/>
        <v>14736715.800000001</v>
      </c>
      <c r="D29" s="7">
        <f t="shared" si="12"/>
        <v>348.50341418918924</v>
      </c>
      <c r="E29" s="7">
        <f t="shared" si="13"/>
        <v>9608.7369912162176</v>
      </c>
      <c r="F29" s="7">
        <f t="shared" si="17"/>
        <v>14220930.747000001</v>
      </c>
      <c r="G29" s="7">
        <f t="shared" si="14"/>
        <v>298.71721216216218</v>
      </c>
      <c r="H29" s="7">
        <f t="shared" si="15"/>
        <v>9658.5231932432434</v>
      </c>
      <c r="I29" s="7">
        <f t="shared" si="18"/>
        <v>14294614.325999999</v>
      </c>
      <c r="J29" s="21">
        <f t="shared" si="19"/>
        <v>1345952.7469999995</v>
      </c>
      <c r="K29" s="22">
        <f t="shared" si="20"/>
        <v>1419636.3259999976</v>
      </c>
    </row>
    <row r="30" spans="1:11" ht="27.75" customHeight="1" x14ac:dyDescent="0.3">
      <c r="A30" s="6" t="s">
        <v>11</v>
      </c>
      <c r="B30" s="7">
        <f>SUM(D8*10%+D8)+388</f>
        <v>6235.4290540540542</v>
      </c>
      <c r="C30" s="7">
        <f t="shared" si="16"/>
        <v>9228435</v>
      </c>
      <c r="D30" s="7">
        <f t="shared" si="12"/>
        <v>218.24001689189191</v>
      </c>
      <c r="E30" s="7">
        <f t="shared" si="13"/>
        <v>6017.1890371621621</v>
      </c>
      <c r="F30" s="7">
        <f>SUM(E30*1480)</f>
        <v>8905439.7750000004</v>
      </c>
      <c r="G30" s="7">
        <f t="shared" si="14"/>
        <v>187.06287162162161</v>
      </c>
      <c r="H30" s="7">
        <f t="shared" si="15"/>
        <v>6048.3661824324327</v>
      </c>
      <c r="I30" s="7">
        <f t="shared" si="18"/>
        <v>8951581.9500000011</v>
      </c>
      <c r="J30" s="21">
        <f t="shared" si="19"/>
        <v>1037989.7749999994</v>
      </c>
      <c r="K30" s="22">
        <f t="shared" si="20"/>
        <v>1084131.9500000002</v>
      </c>
    </row>
    <row r="31" spans="1:11" ht="17.25" x14ac:dyDescent="0.3">
      <c r="A31" s="10"/>
      <c r="B31" s="13"/>
      <c r="C31" s="13"/>
      <c r="D31" s="13"/>
      <c r="E31" s="12"/>
      <c r="G31" s="12"/>
      <c r="H31" s="12"/>
      <c r="I31" s="12"/>
      <c r="J31" s="12"/>
      <c r="K31" s="12"/>
    </row>
    <row r="32" spans="1:11" x14ac:dyDescent="0.3">
      <c r="B32" s="12"/>
      <c r="C32" s="12"/>
      <c r="D32" s="12"/>
      <c r="E32" s="12"/>
      <c r="G32" s="12"/>
      <c r="H32" s="12"/>
      <c r="I32" s="12"/>
      <c r="J32" s="12"/>
      <c r="K32" s="12"/>
    </row>
    <row r="33" spans="1:11" ht="17.25" x14ac:dyDescent="0.3">
      <c r="A33" s="8" t="s">
        <v>12</v>
      </c>
      <c r="B33" s="12"/>
      <c r="C33" s="12"/>
      <c r="D33" s="12"/>
      <c r="E33" s="12"/>
      <c r="G33" s="12"/>
      <c r="H33" s="12"/>
      <c r="I33" s="12"/>
      <c r="J33" s="12"/>
      <c r="K33" s="12"/>
    </row>
    <row r="34" spans="1:11" ht="35.25" customHeight="1" x14ac:dyDescent="0.3">
      <c r="A34" s="2" t="s">
        <v>0</v>
      </c>
      <c r="B34" s="5" t="s">
        <v>85</v>
      </c>
      <c r="C34" s="5" t="s">
        <v>86</v>
      </c>
      <c r="D34" s="5" t="s">
        <v>22</v>
      </c>
      <c r="E34" s="5" t="s">
        <v>21</v>
      </c>
      <c r="F34" s="5" t="s">
        <v>20</v>
      </c>
      <c r="G34" s="5" t="s">
        <v>19</v>
      </c>
      <c r="H34" s="5" t="s">
        <v>18</v>
      </c>
      <c r="I34" s="5" t="s">
        <v>17</v>
      </c>
      <c r="J34" s="14" t="s">
        <v>13</v>
      </c>
      <c r="K34" s="16" t="s">
        <v>14</v>
      </c>
    </row>
    <row r="35" spans="1:11" ht="24" customHeight="1" x14ac:dyDescent="0.3">
      <c r="A35" s="6" t="s">
        <v>5</v>
      </c>
      <c r="B35" s="7">
        <f>SUM(F2*10%+F2)</f>
        <v>34410.158378378379</v>
      </c>
      <c r="C35" s="7">
        <f>SUM(B35*1480)</f>
        <v>50927034.399999999</v>
      </c>
      <c r="D35" s="7">
        <f t="shared" ref="D35:D41" si="21">SUM(B35*3.5%)</f>
        <v>1204.3555432432433</v>
      </c>
      <c r="E35" s="7">
        <f t="shared" ref="E35:E41" si="22">SUM(B35-D35)</f>
        <v>33205.802835135139</v>
      </c>
      <c r="F35" s="7">
        <f>SUM(E35*1480)</f>
        <v>49144588.196000002</v>
      </c>
      <c r="G35" s="7">
        <f t="shared" ref="G35:G41" si="23">SUM(B35*3%)</f>
        <v>1032.3047513513513</v>
      </c>
      <c r="H35" s="7">
        <f t="shared" ref="H35:H41" si="24">SUM(B35-G35)</f>
        <v>33377.853627027027</v>
      </c>
      <c r="I35" s="7">
        <f>SUM(H35*1480)</f>
        <v>49399223.368000001</v>
      </c>
      <c r="J35" s="19">
        <f>F35-G2</f>
        <v>2847284.1960000023</v>
      </c>
      <c r="K35" s="20">
        <f>I35-G2</f>
        <v>3101919.3680000007</v>
      </c>
    </row>
    <row r="36" spans="1:11" ht="24" customHeight="1" x14ac:dyDescent="0.3">
      <c r="A36" s="6" t="s">
        <v>6</v>
      </c>
      <c r="B36" s="7">
        <f>SUM(F3*10%+F3)</f>
        <v>27712.010135135137</v>
      </c>
      <c r="C36" s="7">
        <f t="shared" ref="C36:C41" si="25">SUM(B36*1480)</f>
        <v>41013775</v>
      </c>
      <c r="D36" s="7">
        <f t="shared" si="21"/>
        <v>969.92035472972987</v>
      </c>
      <c r="E36" s="7">
        <f t="shared" si="22"/>
        <v>26742.089780405408</v>
      </c>
      <c r="F36" s="7">
        <f t="shared" ref="F36:F41" si="26">SUM(E36*1480)</f>
        <v>39578292.875</v>
      </c>
      <c r="G36" s="7">
        <f t="shared" si="23"/>
        <v>831.36030405405404</v>
      </c>
      <c r="H36" s="7">
        <f t="shared" si="24"/>
        <v>26880.649831081082</v>
      </c>
      <c r="I36" s="7">
        <f t="shared" ref="I36:I41" si="27">SUM(H36*1480)</f>
        <v>39783361.75</v>
      </c>
      <c r="J36" s="19">
        <f t="shared" ref="J36:J41" si="28">F36-G3</f>
        <v>2293042.875</v>
      </c>
      <c r="K36" s="20">
        <f t="shared" ref="K36:K41" si="29">I36-G3</f>
        <v>2498111.75</v>
      </c>
    </row>
    <row r="37" spans="1:11" ht="24" customHeight="1" x14ac:dyDescent="0.3">
      <c r="A37" s="6" t="s">
        <v>7</v>
      </c>
      <c r="B37" s="7">
        <f>SUM(F4*10%+F4)</f>
        <v>23284.345135135132</v>
      </c>
      <c r="C37" s="7">
        <f t="shared" si="25"/>
        <v>34460830.799999997</v>
      </c>
      <c r="D37" s="7">
        <f t="shared" si="21"/>
        <v>814.95207972972969</v>
      </c>
      <c r="E37" s="7">
        <f t="shared" si="22"/>
        <v>22469.393055405402</v>
      </c>
      <c r="F37" s="7">
        <f t="shared" si="26"/>
        <v>33254701.721999995</v>
      </c>
      <c r="G37" s="7">
        <f t="shared" si="23"/>
        <v>698.53035405405399</v>
      </c>
      <c r="H37" s="7">
        <f t="shared" si="24"/>
        <v>22585.814781081077</v>
      </c>
      <c r="I37" s="7">
        <f t="shared" si="27"/>
        <v>33427005.875999995</v>
      </c>
      <c r="J37" s="19">
        <f t="shared" si="28"/>
        <v>1926673.7219999954</v>
      </c>
      <c r="K37" s="20">
        <f t="shared" si="29"/>
        <v>2098977.8759999946</v>
      </c>
    </row>
    <row r="38" spans="1:11" ht="24" customHeight="1" x14ac:dyDescent="0.3">
      <c r="A38" s="6" t="s">
        <v>8</v>
      </c>
      <c r="B38" s="7">
        <f>SUM(F5*10%+F5)+388</f>
        <v>18082.726351351354</v>
      </c>
      <c r="C38" s="7">
        <f t="shared" si="25"/>
        <v>26762435.000000004</v>
      </c>
      <c r="D38" s="7">
        <f t="shared" si="21"/>
        <v>632.89542229729739</v>
      </c>
      <c r="E38" s="7">
        <f t="shared" si="22"/>
        <v>17449.830929054056</v>
      </c>
      <c r="F38" s="7">
        <f t="shared" si="26"/>
        <v>25825749.775000002</v>
      </c>
      <c r="G38" s="7">
        <f t="shared" si="23"/>
        <v>542.4817905405406</v>
      </c>
      <c r="H38" s="7">
        <f t="shared" si="24"/>
        <v>17540.244560810814</v>
      </c>
      <c r="I38" s="7">
        <f t="shared" si="27"/>
        <v>25959561.950000003</v>
      </c>
      <c r="J38" s="19">
        <f t="shared" si="28"/>
        <v>2018299.7750000022</v>
      </c>
      <c r="K38" s="20">
        <f t="shared" si="29"/>
        <v>2152111.950000003</v>
      </c>
    </row>
    <row r="39" spans="1:11" ht="24" customHeight="1" x14ac:dyDescent="0.3">
      <c r="A39" s="6" t="s">
        <v>9</v>
      </c>
      <c r="B39" s="7">
        <f>SUM(F6*10%+F6)+388</f>
        <v>15417.976351351352</v>
      </c>
      <c r="C39" s="7">
        <f t="shared" si="25"/>
        <v>22818605</v>
      </c>
      <c r="D39" s="7">
        <f t="shared" si="21"/>
        <v>539.62917229729737</v>
      </c>
      <c r="E39" s="7">
        <f t="shared" si="22"/>
        <v>14878.347179054053</v>
      </c>
      <c r="F39" s="7">
        <f t="shared" si="26"/>
        <v>22019953.824999999</v>
      </c>
      <c r="G39" s="7">
        <f t="shared" si="23"/>
        <v>462.53929054054055</v>
      </c>
      <c r="H39" s="7">
        <f t="shared" si="24"/>
        <v>14955.437060810811</v>
      </c>
      <c r="I39" s="7">
        <f t="shared" si="27"/>
        <v>22134046.850000001</v>
      </c>
      <c r="J39" s="19">
        <f t="shared" si="28"/>
        <v>1797803.8249999993</v>
      </c>
      <c r="K39" s="20">
        <f t="shared" si="29"/>
        <v>1911896.8500000015</v>
      </c>
    </row>
    <row r="40" spans="1:11" ht="24" customHeight="1" x14ac:dyDescent="0.3">
      <c r="A40" s="6" t="s">
        <v>10</v>
      </c>
      <c r="B40" s="7">
        <f>SUM(F7*10%+F7)+388</f>
        <v>9475.1475675675665</v>
      </c>
      <c r="C40" s="7">
        <f t="shared" si="25"/>
        <v>14023218.399999999</v>
      </c>
      <c r="D40" s="7">
        <f t="shared" si="21"/>
        <v>331.63016486486487</v>
      </c>
      <c r="E40" s="7">
        <f t="shared" si="22"/>
        <v>9143.5174027027024</v>
      </c>
      <c r="F40" s="7">
        <f t="shared" si="26"/>
        <v>13532405.755999999</v>
      </c>
      <c r="G40" s="7">
        <f t="shared" si="23"/>
        <v>284.25442702702696</v>
      </c>
      <c r="H40" s="7">
        <f t="shared" si="24"/>
        <v>9190.8931405405401</v>
      </c>
      <c r="I40" s="7">
        <f t="shared" si="27"/>
        <v>13602521.847999999</v>
      </c>
      <c r="J40" s="21">
        <f t="shared" si="28"/>
        <v>1306061.7559999991</v>
      </c>
      <c r="K40" s="22">
        <f t="shared" si="29"/>
        <v>1376177.8479999993</v>
      </c>
    </row>
    <row r="41" spans="1:11" ht="24" customHeight="1" x14ac:dyDescent="0.3">
      <c r="A41" s="6" t="s">
        <v>11</v>
      </c>
      <c r="B41" s="7">
        <f>SUM(F8*10%+F8)+388</f>
        <v>5927.4156756756756</v>
      </c>
      <c r="C41" s="7">
        <f t="shared" si="25"/>
        <v>8772575.1999999993</v>
      </c>
      <c r="D41" s="7">
        <f t="shared" si="21"/>
        <v>207.45954864864868</v>
      </c>
      <c r="E41" s="7">
        <f t="shared" si="22"/>
        <v>5719.9561270270269</v>
      </c>
      <c r="F41" s="7">
        <f t="shared" si="26"/>
        <v>8465535.068</v>
      </c>
      <c r="G41" s="7">
        <f t="shared" si="23"/>
        <v>177.82247027027026</v>
      </c>
      <c r="H41" s="7">
        <f t="shared" si="24"/>
        <v>5749.5932054054056</v>
      </c>
      <c r="I41" s="7">
        <f t="shared" si="27"/>
        <v>8509397.9440000001</v>
      </c>
      <c r="J41" s="21">
        <f t="shared" si="28"/>
        <v>1012503.068</v>
      </c>
      <c r="K41" s="22">
        <f t="shared" si="29"/>
        <v>1056365.9440000001</v>
      </c>
    </row>
    <row r="44" spans="1:11" ht="17.25" x14ac:dyDescent="0.3">
      <c r="A44" s="8" t="s">
        <v>55</v>
      </c>
      <c r="F44"/>
    </row>
    <row r="45" spans="1:11" ht="35.25" customHeight="1" x14ac:dyDescent="0.3">
      <c r="A45" s="2" t="s">
        <v>0</v>
      </c>
      <c r="B45" s="3" t="s">
        <v>50</v>
      </c>
      <c r="C45" s="3" t="s">
        <v>84</v>
      </c>
      <c r="D45" s="4" t="s">
        <v>48</v>
      </c>
      <c r="E45" s="4" t="s">
        <v>49</v>
      </c>
      <c r="F45" s="5" t="s">
        <v>85</v>
      </c>
      <c r="G45" s="5" t="s">
        <v>86</v>
      </c>
      <c r="H45" s="24" t="s">
        <v>52</v>
      </c>
      <c r="I45" s="24" t="s">
        <v>53</v>
      </c>
    </row>
    <row r="46" spans="1:11" ht="24" customHeight="1" x14ac:dyDescent="0.3">
      <c r="A46" s="6" t="s">
        <v>5</v>
      </c>
      <c r="B46" s="7">
        <f>SUM(C46/1480)</f>
        <v>2087.8378378378379</v>
      </c>
      <c r="C46" s="7">
        <f>SUM(C55*H46)</f>
        <v>3090000</v>
      </c>
      <c r="D46" s="7">
        <f>SUM(E46/1480)</f>
        <v>2472.9729729729729</v>
      </c>
      <c r="E46" s="7">
        <f>SUM(C56*H46)</f>
        <v>3660000</v>
      </c>
      <c r="F46" s="7">
        <f>SUM(G46/1480)</f>
        <v>2037.1621621621621</v>
      </c>
      <c r="G46" s="7">
        <f>SUM(C57*H46)</f>
        <v>3015000</v>
      </c>
      <c r="H46" s="25">
        <v>15</v>
      </c>
      <c r="I46" s="6">
        <v>30</v>
      </c>
    </row>
    <row r="47" spans="1:11" ht="24" customHeight="1" x14ac:dyDescent="0.3">
      <c r="A47" s="6" t="s">
        <v>6</v>
      </c>
      <c r="B47" s="7">
        <f t="shared" ref="B47:B52" si="30">SUM(C47/1480)</f>
        <v>1113.5135135135135</v>
      </c>
      <c r="C47" s="7">
        <f>SUM(C55*H47)</f>
        <v>1648000</v>
      </c>
      <c r="D47" s="7">
        <f t="shared" ref="D47:D52" si="31">SUM(E47/1480)</f>
        <v>1318.918918918919</v>
      </c>
      <c r="E47" s="7">
        <f>SUM(C56*H47)</f>
        <v>1952000</v>
      </c>
      <c r="F47" s="7">
        <f t="shared" ref="F47:F52" si="32">SUM(G47/1480)</f>
        <v>1086.4864864864865</v>
      </c>
      <c r="G47" s="7">
        <f>SUM(C57*H47)</f>
        <v>1608000</v>
      </c>
      <c r="H47" s="25">
        <v>8</v>
      </c>
      <c r="I47" s="6">
        <v>15</v>
      </c>
    </row>
    <row r="48" spans="1:11" ht="24" customHeight="1" x14ac:dyDescent="0.3">
      <c r="A48" s="6" t="s">
        <v>7</v>
      </c>
      <c r="B48" s="7">
        <f t="shared" si="30"/>
        <v>1113.5135135135135</v>
      </c>
      <c r="C48" s="7">
        <f>SUM(C55*H48)</f>
        <v>1648000</v>
      </c>
      <c r="D48" s="7">
        <f t="shared" si="31"/>
        <v>1318.918918918919</v>
      </c>
      <c r="E48" s="7">
        <f>SUM(C56*H48)</f>
        <v>1952000</v>
      </c>
      <c r="F48" s="7">
        <f t="shared" si="32"/>
        <v>1086.4864864864865</v>
      </c>
      <c r="G48" s="7">
        <f>SUM(C57*H48)</f>
        <v>1608000</v>
      </c>
      <c r="H48" s="25">
        <v>8</v>
      </c>
      <c r="I48" s="6">
        <v>15</v>
      </c>
    </row>
    <row r="49" spans="1:9" ht="24" customHeight="1" x14ac:dyDescent="0.3">
      <c r="A49" s="6" t="s">
        <v>8</v>
      </c>
      <c r="B49" s="7">
        <f t="shared" si="30"/>
        <v>835.1351351351351</v>
      </c>
      <c r="C49" s="7">
        <f>SUM(C55*H49)</f>
        <v>1236000</v>
      </c>
      <c r="D49" s="7">
        <f t="shared" si="31"/>
        <v>989.18918918918916</v>
      </c>
      <c r="E49" s="7">
        <f>SUM(C56*H49)</f>
        <v>1464000</v>
      </c>
      <c r="F49" s="7">
        <f t="shared" si="32"/>
        <v>814.8648648648649</v>
      </c>
      <c r="G49" s="7">
        <f>SUM(C57*H49)</f>
        <v>1206000</v>
      </c>
      <c r="H49" s="25">
        <v>6</v>
      </c>
      <c r="I49" s="6">
        <v>12</v>
      </c>
    </row>
    <row r="50" spans="1:9" ht="24" customHeight="1" x14ac:dyDescent="0.3">
      <c r="A50" s="6" t="s">
        <v>9</v>
      </c>
      <c r="B50" s="7">
        <f t="shared" si="30"/>
        <v>835.1351351351351</v>
      </c>
      <c r="C50" s="7">
        <f>SUM(C55*H50)</f>
        <v>1236000</v>
      </c>
      <c r="D50" s="7">
        <f t="shared" si="31"/>
        <v>989.18918918918916</v>
      </c>
      <c r="E50" s="7">
        <f>SUM(C56*H50)</f>
        <v>1464000</v>
      </c>
      <c r="F50" s="7">
        <f t="shared" si="32"/>
        <v>814.8648648648649</v>
      </c>
      <c r="G50" s="7">
        <f>SUM(C57*H50)</f>
        <v>1206000</v>
      </c>
      <c r="H50" s="25">
        <v>6</v>
      </c>
      <c r="I50" s="6">
        <v>12</v>
      </c>
    </row>
    <row r="51" spans="1:9" ht="24" customHeight="1" x14ac:dyDescent="0.3">
      <c r="A51" s="6" t="s">
        <v>10</v>
      </c>
      <c r="B51" s="7">
        <f t="shared" si="30"/>
        <v>556.75675675675677</v>
      </c>
      <c r="C51" s="7">
        <f>SUM(C55*H51)</f>
        <v>824000</v>
      </c>
      <c r="D51" s="7">
        <f t="shared" si="31"/>
        <v>659.45945945945948</v>
      </c>
      <c r="E51" s="7">
        <f>SUM(C56*H51)</f>
        <v>976000</v>
      </c>
      <c r="F51" s="7">
        <f t="shared" si="32"/>
        <v>543.24324324324323</v>
      </c>
      <c r="G51" s="7">
        <f>SUM(C57*H51)</f>
        <v>804000</v>
      </c>
      <c r="H51" s="25">
        <v>4</v>
      </c>
      <c r="I51" s="6">
        <v>8</v>
      </c>
    </row>
    <row r="52" spans="1:9" ht="24" customHeight="1" x14ac:dyDescent="0.3">
      <c r="A52" s="6" t="s">
        <v>11</v>
      </c>
      <c r="B52" s="7">
        <f t="shared" si="30"/>
        <v>417.56756756756755</v>
      </c>
      <c r="C52" s="7">
        <f>SUM(C55*H52)</f>
        <v>618000</v>
      </c>
      <c r="D52" s="7">
        <f t="shared" si="31"/>
        <v>494.59459459459458</v>
      </c>
      <c r="E52" s="7">
        <f>SUM(C56*H52)</f>
        <v>732000</v>
      </c>
      <c r="F52" s="7">
        <f t="shared" si="32"/>
        <v>407.43243243243245</v>
      </c>
      <c r="G52" s="7">
        <f>SUM(C57*H52)</f>
        <v>603000</v>
      </c>
      <c r="H52" s="25">
        <v>3</v>
      </c>
      <c r="I52" s="6">
        <v>6</v>
      </c>
    </row>
    <row r="53" spans="1:9" x14ac:dyDescent="0.3">
      <c r="A53" s="26"/>
      <c r="B53" s="26"/>
      <c r="C53" s="26"/>
      <c r="F53"/>
    </row>
    <row r="54" spans="1:9" ht="49.5" x14ac:dyDescent="0.3">
      <c r="A54" s="29" t="s">
        <v>51</v>
      </c>
      <c r="B54" s="29" t="s">
        <v>56</v>
      </c>
      <c r="C54" s="29" t="s">
        <v>54</v>
      </c>
      <c r="F54"/>
    </row>
    <row r="55" spans="1:9" x14ac:dyDescent="0.3">
      <c r="A55" s="30">
        <v>46227</v>
      </c>
      <c r="B55" s="31">
        <v>156000</v>
      </c>
      <c r="C55" s="31">
        <v>206000</v>
      </c>
    </row>
    <row r="56" spans="1:9" x14ac:dyDescent="0.3">
      <c r="A56" s="32">
        <v>46228</v>
      </c>
      <c r="B56" s="33">
        <v>194000</v>
      </c>
      <c r="C56" s="33">
        <v>244000</v>
      </c>
    </row>
    <row r="57" spans="1:9" x14ac:dyDescent="0.3">
      <c r="A57" s="32">
        <v>46229</v>
      </c>
      <c r="B57" s="33">
        <v>151000</v>
      </c>
      <c r="C57" s="34">
        <v>201000</v>
      </c>
    </row>
  </sheetData>
  <phoneticPr fontId="2" type="noConversion"/>
  <pageMargins left="0.25" right="0.25" top="0.75" bottom="0.75" header="0.3" footer="0.3"/>
  <pageSetup paperSize="9" scale="48" orientation="landscape" verticalDpi="0" r:id="rId1"/>
  <ignoredErrors>
    <ignoredError sqref="C46:C52 E46:E52 D2:D8 F2:F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zoomScale="80" zoomScaleNormal="80" workbookViewId="0">
      <selection activeCell="C43" sqref="C43"/>
    </sheetView>
  </sheetViews>
  <sheetFormatPr defaultRowHeight="16.5" x14ac:dyDescent="0.3"/>
  <cols>
    <col min="1" max="1" width="28.5" customWidth="1"/>
    <col min="2" max="4" width="24" customWidth="1"/>
    <col min="5" max="5" width="30.25" customWidth="1"/>
    <col min="6" max="6" width="30.25" style="12" customWidth="1"/>
    <col min="7" max="7" width="24" customWidth="1"/>
    <col min="8" max="8" width="27.5" customWidth="1"/>
    <col min="9" max="9" width="29.125" customWidth="1"/>
    <col min="10" max="10" width="24" customWidth="1"/>
    <col min="11" max="11" width="40.375" customWidth="1"/>
    <col min="12" max="12" width="32" customWidth="1"/>
    <col min="13" max="13" width="25.375" customWidth="1"/>
    <col min="14" max="14" width="34.375" customWidth="1"/>
    <col min="15" max="15" width="18.25" customWidth="1"/>
    <col min="16" max="16" width="18.25" bestFit="1" customWidth="1"/>
  </cols>
  <sheetData>
    <row r="1" spans="1:6" ht="17.25" x14ac:dyDescent="0.3">
      <c r="A1" s="8" t="s">
        <v>57</v>
      </c>
      <c r="B1" s="12"/>
      <c r="C1" s="12"/>
    </row>
    <row r="2" spans="1:6" ht="17.25" x14ac:dyDescent="0.3">
      <c r="A2" s="2" t="s">
        <v>0</v>
      </c>
      <c r="B2" s="3" t="s">
        <v>58</v>
      </c>
      <c r="C2" s="3" t="s">
        <v>59</v>
      </c>
      <c r="D2" s="3" t="s">
        <v>60</v>
      </c>
      <c r="E2" s="3" t="s">
        <v>62</v>
      </c>
      <c r="F2" s="3" t="s">
        <v>63</v>
      </c>
    </row>
    <row r="3" spans="1:6" ht="17.25" x14ac:dyDescent="0.3">
      <c r="A3" s="6" t="s">
        <v>5</v>
      </c>
      <c r="B3" s="7">
        <v>33228.62162162162</v>
      </c>
      <c r="C3" s="7">
        <v>49178360</v>
      </c>
      <c r="D3" s="7">
        <f>SUM(C3/189)</f>
        <v>260202.96296296295</v>
      </c>
      <c r="E3" s="7">
        <f>SUM(C3/45)</f>
        <v>1092852.4444444445</v>
      </c>
      <c r="F3" s="7">
        <f>SUM(C3/216)</f>
        <v>227677.59259259258</v>
      </c>
    </row>
    <row r="4" spans="1:6" ht="17.25" x14ac:dyDescent="0.3">
      <c r="A4" s="6" t="s">
        <v>6</v>
      </c>
      <c r="B4" s="7">
        <v>26681.064864864864</v>
      </c>
      <c r="C4" s="7">
        <v>39487976</v>
      </c>
      <c r="D4" s="7">
        <f t="shared" ref="D4:D9" si="0">SUM(C4/189)</f>
        <v>208931.08994708996</v>
      </c>
      <c r="E4" s="7">
        <f t="shared" ref="E4:E9" si="1">SUM(C4/45)</f>
        <v>877510.5777777778</v>
      </c>
      <c r="F4" s="7">
        <f t="shared" ref="F4:F9" si="2">SUM(C4/216)</f>
        <v>182814.70370370371</v>
      </c>
    </row>
    <row r="5" spans="1:6" ht="17.25" x14ac:dyDescent="0.3">
      <c r="A5" s="6" t="s">
        <v>7</v>
      </c>
      <c r="B5" s="7">
        <v>22430.004864864866</v>
      </c>
      <c r="C5" s="7">
        <v>33196407.200000003</v>
      </c>
      <c r="D5" s="7">
        <f t="shared" si="0"/>
        <v>175642.36613756616</v>
      </c>
      <c r="E5" s="7">
        <f t="shared" si="1"/>
        <v>737697.9377777779</v>
      </c>
      <c r="F5" s="7">
        <f t="shared" si="2"/>
        <v>153687.07037037038</v>
      </c>
    </row>
    <row r="6" spans="1:6" ht="17.25" x14ac:dyDescent="0.3">
      <c r="A6" s="6" t="s">
        <v>8</v>
      </c>
      <c r="B6" s="7">
        <v>17433.088648648649</v>
      </c>
      <c r="C6" s="7">
        <v>25800971.199999999</v>
      </c>
      <c r="D6" s="7">
        <f t="shared" si="0"/>
        <v>136513.07513227512</v>
      </c>
      <c r="E6" s="7">
        <f t="shared" si="1"/>
        <v>573354.91555555549</v>
      </c>
      <c r="F6" s="7">
        <f t="shared" si="2"/>
        <v>119448.94074074074</v>
      </c>
    </row>
    <row r="7" spans="1:6" ht="17.25" x14ac:dyDescent="0.3">
      <c r="A7" s="6" t="s">
        <v>9</v>
      </c>
      <c r="B7" s="7">
        <v>14874.928648648647</v>
      </c>
      <c r="C7" s="7">
        <v>22014894.399999999</v>
      </c>
      <c r="D7" s="7">
        <f t="shared" si="0"/>
        <v>116480.92275132274</v>
      </c>
      <c r="E7" s="7">
        <f t="shared" si="1"/>
        <v>489219.87555555551</v>
      </c>
      <c r="F7" s="7">
        <f t="shared" si="2"/>
        <v>101920.8074074074</v>
      </c>
    </row>
    <row r="8" spans="1:6" ht="17.25" x14ac:dyDescent="0.3">
      <c r="A8" s="6" t="s">
        <v>10</v>
      </c>
      <c r="B8" s="7">
        <v>9136.8024324324324</v>
      </c>
      <c r="C8" s="7">
        <v>13522467.6</v>
      </c>
      <c r="D8" s="7">
        <f t="shared" si="0"/>
        <v>71547.447619047613</v>
      </c>
      <c r="E8" s="7">
        <f t="shared" si="1"/>
        <v>300499.27999999997</v>
      </c>
      <c r="F8" s="7">
        <f t="shared" si="2"/>
        <v>62604.016666666663</v>
      </c>
    </row>
    <row r="9" spans="1:6" ht="17.25" x14ac:dyDescent="0.3">
      <c r="A9" s="6" t="s">
        <v>11</v>
      </c>
      <c r="B9" s="7">
        <v>5726.4293243243246</v>
      </c>
      <c r="C9" s="7">
        <v>8475115.4000000004</v>
      </c>
      <c r="D9" s="7">
        <f t="shared" si="0"/>
        <v>44841.880423280425</v>
      </c>
      <c r="E9" s="7">
        <f t="shared" si="1"/>
        <v>188335.89777777778</v>
      </c>
      <c r="F9" s="7">
        <f t="shared" si="2"/>
        <v>39236.645370370374</v>
      </c>
    </row>
    <row r="11" spans="1:6" ht="17.25" x14ac:dyDescent="0.3">
      <c r="A11" s="2" t="s">
        <v>0</v>
      </c>
      <c r="B11" s="4" t="s">
        <v>64</v>
      </c>
      <c r="C11" s="4" t="s">
        <v>65</v>
      </c>
      <c r="D11" s="4" t="s">
        <v>66</v>
      </c>
      <c r="E11" s="4" t="s">
        <v>67</v>
      </c>
      <c r="F11" s="4" t="s">
        <v>68</v>
      </c>
    </row>
    <row r="12" spans="1:6" ht="17.25" x14ac:dyDescent="0.3">
      <c r="A12" s="6" t="s">
        <v>5</v>
      </c>
      <c r="B12" s="7">
        <v>36126.830270270271</v>
      </c>
      <c r="C12" s="7">
        <v>53467708.800000004</v>
      </c>
      <c r="D12" s="7">
        <f>SUM(C12/189)</f>
        <v>282897.93015873019</v>
      </c>
      <c r="E12" s="7">
        <f>SUM(C12/45)</f>
        <v>1188171.3066666669</v>
      </c>
      <c r="F12" s="7">
        <f>SUM(C12/216)</f>
        <v>247535.68888888892</v>
      </c>
    </row>
    <row r="13" spans="1:6" ht="17.25" x14ac:dyDescent="0.3">
      <c r="A13" s="6" t="s">
        <v>6</v>
      </c>
      <c r="B13" s="7">
        <v>29028.360810810813</v>
      </c>
      <c r="C13" s="7">
        <v>42961974</v>
      </c>
      <c r="D13" s="7">
        <f t="shared" ref="D13:D18" si="3">SUM(C13/189)</f>
        <v>227312.03174603175</v>
      </c>
      <c r="E13" s="7">
        <f t="shared" ref="E13:E18" si="4">SUM(C13/45)</f>
        <v>954710.53333333333</v>
      </c>
      <c r="F13" s="7">
        <f t="shared" ref="F13:F18" si="5">SUM(C13/216)</f>
        <v>198898.02777777778</v>
      </c>
    </row>
    <row r="14" spans="1:6" ht="17.25" x14ac:dyDescent="0.3">
      <c r="A14" s="6" t="s">
        <v>7</v>
      </c>
      <c r="B14" s="7">
        <v>24423.045810810811</v>
      </c>
      <c r="C14" s="7">
        <v>36146107.799999997</v>
      </c>
      <c r="D14" s="7">
        <f t="shared" si="3"/>
        <v>191249.24761904762</v>
      </c>
      <c r="E14" s="7">
        <f t="shared" si="4"/>
        <v>803246.84</v>
      </c>
      <c r="F14" s="7">
        <f t="shared" si="5"/>
        <v>167343.09166666665</v>
      </c>
    </row>
    <row r="15" spans="1:6" ht="17.25" x14ac:dyDescent="0.3">
      <c r="A15" s="6" t="s">
        <v>8</v>
      </c>
      <c r="B15" s="7">
        <v>18946.418108108108</v>
      </c>
      <c r="C15" s="7">
        <v>28040698.800000001</v>
      </c>
      <c r="D15" s="7">
        <f t="shared" si="3"/>
        <v>148363.48571428572</v>
      </c>
      <c r="E15" s="7">
        <f t="shared" si="4"/>
        <v>623126.64</v>
      </c>
      <c r="F15" s="7">
        <f t="shared" si="5"/>
        <v>129818.05</v>
      </c>
    </row>
    <row r="16" spans="1:6" ht="17.25" x14ac:dyDescent="0.3">
      <c r="A16" s="6" t="s">
        <v>9</v>
      </c>
      <c r="B16" s="7">
        <v>16175.07810810811</v>
      </c>
      <c r="C16" s="7">
        <v>23939115.600000001</v>
      </c>
      <c r="D16" s="7">
        <f t="shared" si="3"/>
        <v>126661.98730158732</v>
      </c>
      <c r="E16" s="7">
        <f t="shared" si="4"/>
        <v>531980.34666666668</v>
      </c>
      <c r="F16" s="7">
        <f t="shared" si="5"/>
        <v>110829.2388888889</v>
      </c>
    </row>
    <row r="17" spans="1:6" ht="17.25" x14ac:dyDescent="0.3">
      <c r="A17" s="6" t="s">
        <v>10</v>
      </c>
      <c r="B17" s="7">
        <v>9957.2404054054059</v>
      </c>
      <c r="C17" s="7">
        <v>14736715.800000001</v>
      </c>
      <c r="D17" s="7">
        <f t="shared" si="3"/>
        <v>77972.041269841269</v>
      </c>
      <c r="E17" s="7">
        <f t="shared" si="4"/>
        <v>327482.57333333336</v>
      </c>
      <c r="F17" s="7">
        <f t="shared" si="5"/>
        <v>68225.536111111112</v>
      </c>
    </row>
    <row r="18" spans="1:6" ht="17.25" x14ac:dyDescent="0.3">
      <c r="A18" s="6" t="s">
        <v>11</v>
      </c>
      <c r="B18" s="7">
        <v>6235.4290540540542</v>
      </c>
      <c r="C18" s="7">
        <v>9228435</v>
      </c>
      <c r="D18" s="7">
        <f t="shared" si="3"/>
        <v>48827.69841269841</v>
      </c>
      <c r="E18" s="7">
        <f t="shared" si="4"/>
        <v>205076.33333333334</v>
      </c>
      <c r="F18" s="7">
        <f t="shared" si="5"/>
        <v>42724.236111111109</v>
      </c>
    </row>
    <row r="20" spans="1:6" ht="17.25" x14ac:dyDescent="0.3">
      <c r="A20" s="2" t="s">
        <v>0</v>
      </c>
      <c r="B20" s="5" t="s">
        <v>69</v>
      </c>
      <c r="C20" s="5" t="s">
        <v>70</v>
      </c>
      <c r="D20" s="5" t="s">
        <v>71</v>
      </c>
      <c r="E20" s="5" t="s">
        <v>73</v>
      </c>
      <c r="F20" s="5" t="s">
        <v>74</v>
      </c>
    </row>
    <row r="21" spans="1:6" ht="17.25" x14ac:dyDescent="0.3">
      <c r="A21" s="6" t="s">
        <v>5</v>
      </c>
      <c r="B21" s="7">
        <v>34410.158378378379</v>
      </c>
      <c r="C21" s="7">
        <v>50927034.399999999</v>
      </c>
      <c r="D21" s="7">
        <f>SUM(C21/189)</f>
        <v>269455.20846560848</v>
      </c>
      <c r="E21" s="7">
        <f>SUM(C21/45)</f>
        <v>1131711.8755555556</v>
      </c>
      <c r="F21" s="7">
        <f>SUM(C21/216)</f>
        <v>235773.30740740741</v>
      </c>
    </row>
    <row r="22" spans="1:6" ht="17.25" x14ac:dyDescent="0.3">
      <c r="A22" s="6" t="s">
        <v>6</v>
      </c>
      <c r="B22" s="7">
        <v>27712.010135135137</v>
      </c>
      <c r="C22" s="7">
        <v>41013775</v>
      </c>
      <c r="D22" s="7">
        <f t="shared" ref="D22:D27" si="6">SUM(C22/189)</f>
        <v>217004.10052910054</v>
      </c>
      <c r="E22" s="7">
        <f t="shared" ref="E22:E27" si="7">SUM(C22/45)</f>
        <v>911417.22222222225</v>
      </c>
      <c r="F22" s="7">
        <f t="shared" ref="F22:F27" si="8">SUM(C22/216)</f>
        <v>189878.58796296295</v>
      </c>
    </row>
    <row r="23" spans="1:6" ht="17.25" x14ac:dyDescent="0.3">
      <c r="A23" s="6" t="s">
        <v>7</v>
      </c>
      <c r="B23" s="7">
        <v>23284.345135135132</v>
      </c>
      <c r="C23" s="7">
        <v>34460830.799999997</v>
      </c>
      <c r="D23" s="7">
        <f t="shared" si="6"/>
        <v>182332.43809523809</v>
      </c>
      <c r="E23" s="7">
        <f t="shared" si="7"/>
        <v>765796.24</v>
      </c>
      <c r="F23" s="7">
        <f t="shared" si="8"/>
        <v>159540.88333333333</v>
      </c>
    </row>
    <row r="24" spans="1:6" ht="17.25" x14ac:dyDescent="0.3">
      <c r="A24" s="6" t="s">
        <v>8</v>
      </c>
      <c r="B24" s="7">
        <v>18082.726351351354</v>
      </c>
      <c r="C24" s="7">
        <v>26762435.000000004</v>
      </c>
      <c r="D24" s="7">
        <f t="shared" si="6"/>
        <v>141600.1851851852</v>
      </c>
      <c r="E24" s="7">
        <f t="shared" si="7"/>
        <v>594720.77777777787</v>
      </c>
      <c r="F24" s="7">
        <f t="shared" si="8"/>
        <v>123900.16203703705</v>
      </c>
    </row>
    <row r="25" spans="1:6" ht="17.25" x14ac:dyDescent="0.3">
      <c r="A25" s="6" t="s">
        <v>9</v>
      </c>
      <c r="B25" s="7">
        <v>15417.976351351352</v>
      </c>
      <c r="C25" s="7">
        <v>22818605</v>
      </c>
      <c r="D25" s="7">
        <f t="shared" si="6"/>
        <v>120733.35978835978</v>
      </c>
      <c r="E25" s="7">
        <f t="shared" si="7"/>
        <v>507080.11111111112</v>
      </c>
      <c r="F25" s="7">
        <f t="shared" si="8"/>
        <v>105641.68981481482</v>
      </c>
    </row>
    <row r="26" spans="1:6" ht="17.25" x14ac:dyDescent="0.3">
      <c r="A26" s="6" t="s">
        <v>10</v>
      </c>
      <c r="B26" s="7">
        <v>9475.1475675675665</v>
      </c>
      <c r="C26" s="7">
        <v>14023218.399999999</v>
      </c>
      <c r="D26" s="7">
        <f t="shared" si="6"/>
        <v>74196.922751322738</v>
      </c>
      <c r="E26" s="7">
        <f t="shared" si="7"/>
        <v>311627.07555555552</v>
      </c>
      <c r="F26" s="7">
        <f t="shared" si="8"/>
        <v>64922.307407407403</v>
      </c>
    </row>
    <row r="27" spans="1:6" ht="17.25" x14ac:dyDescent="0.3">
      <c r="A27" s="6" t="s">
        <v>11</v>
      </c>
      <c r="B27" s="7">
        <v>5927.4156756756756</v>
      </c>
      <c r="C27" s="7">
        <v>8772575.1999999993</v>
      </c>
      <c r="D27" s="7">
        <f t="shared" si="6"/>
        <v>46415.741798941795</v>
      </c>
      <c r="E27" s="7">
        <f t="shared" si="7"/>
        <v>194946.11555555553</v>
      </c>
      <c r="F27" s="7">
        <f t="shared" si="8"/>
        <v>40613.77407407407</v>
      </c>
    </row>
    <row r="34" spans="1:6" ht="17.25" x14ac:dyDescent="0.3">
      <c r="A34" s="8" t="s">
        <v>75</v>
      </c>
    </row>
    <row r="35" spans="1:6" ht="17.25" x14ac:dyDescent="0.3">
      <c r="A35" s="2" t="s">
        <v>0</v>
      </c>
      <c r="B35" s="3" t="s">
        <v>58</v>
      </c>
      <c r="C35" s="3" t="s">
        <v>59</v>
      </c>
      <c r="D35" s="3" t="s">
        <v>76</v>
      </c>
      <c r="E35" s="3" t="s">
        <v>61</v>
      </c>
      <c r="F35" s="3" t="s">
        <v>77</v>
      </c>
    </row>
    <row r="36" spans="1:6" ht="17.25" x14ac:dyDescent="0.3">
      <c r="A36" s="6" t="s">
        <v>5</v>
      </c>
      <c r="B36" s="7">
        <v>30932</v>
      </c>
      <c r="C36" s="7">
        <v>45779360</v>
      </c>
      <c r="D36" s="7">
        <f>SUM(C36/189)</f>
        <v>242218.83597883597</v>
      </c>
      <c r="E36" s="7">
        <f>SUM(C36/45)</f>
        <v>1017319.1111111111</v>
      </c>
      <c r="F36" s="7">
        <f>SUM(C36/216)</f>
        <v>211941.48148148149</v>
      </c>
    </row>
    <row r="37" spans="1:6" ht="17.25" x14ac:dyDescent="0.3">
      <c r="A37" s="6" t="s">
        <v>6</v>
      </c>
      <c r="B37" s="7">
        <v>25456.2</v>
      </c>
      <c r="C37" s="7">
        <v>37675176</v>
      </c>
      <c r="D37" s="7">
        <f t="shared" ref="D37:D42" si="9">SUM(C37/189)</f>
        <v>199339.55555555556</v>
      </c>
      <c r="E37" s="7">
        <f t="shared" ref="E37:E42" si="10">SUM(C37/45)</f>
        <v>837226.1333333333</v>
      </c>
      <c r="F37" s="7">
        <f t="shared" ref="F37:F42" si="11">SUM(C37/216)</f>
        <v>174422.11111111112</v>
      </c>
    </row>
    <row r="38" spans="1:6" ht="17.25" x14ac:dyDescent="0.3">
      <c r="A38" s="6" t="s">
        <v>7</v>
      </c>
      <c r="B38" s="7">
        <v>21205.140000000003</v>
      </c>
      <c r="C38" s="7">
        <v>31383607.200000003</v>
      </c>
      <c r="D38" s="7">
        <f t="shared" si="9"/>
        <v>166050.83174603176</v>
      </c>
      <c r="E38" s="7">
        <f t="shared" si="10"/>
        <v>697413.4933333334</v>
      </c>
      <c r="F38" s="7">
        <f t="shared" si="11"/>
        <v>145294.47777777779</v>
      </c>
    </row>
    <row r="39" spans="1:6" ht="17.25" x14ac:dyDescent="0.3">
      <c r="A39" s="6" t="s">
        <v>8</v>
      </c>
      <c r="B39" s="7">
        <v>16514.439999999999</v>
      </c>
      <c r="C39" s="7">
        <v>24441371.199999999</v>
      </c>
      <c r="D39" s="7">
        <f t="shared" si="9"/>
        <v>129319.42433862433</v>
      </c>
      <c r="E39" s="7">
        <f t="shared" si="10"/>
        <v>543141.58222222223</v>
      </c>
      <c r="F39" s="7">
        <f t="shared" si="11"/>
        <v>113154.49629629629</v>
      </c>
    </row>
    <row r="40" spans="1:6" ht="17.25" x14ac:dyDescent="0.3">
      <c r="A40" s="6" t="s">
        <v>9</v>
      </c>
      <c r="B40" s="7">
        <v>13956.279999999999</v>
      </c>
      <c r="C40" s="7">
        <v>20655294.399999999</v>
      </c>
      <c r="D40" s="7">
        <f t="shared" si="9"/>
        <v>109287.27195767195</v>
      </c>
      <c r="E40" s="7">
        <f t="shared" si="10"/>
        <v>459006.5422222222</v>
      </c>
      <c r="F40" s="7">
        <f t="shared" si="11"/>
        <v>95626.362962962958</v>
      </c>
    </row>
    <row r="41" spans="1:6" ht="17.25" x14ac:dyDescent="0.3">
      <c r="A41" s="6" t="s">
        <v>10</v>
      </c>
      <c r="B41" s="7">
        <v>8524.369999999999</v>
      </c>
      <c r="C41" s="7">
        <v>12616067.599999998</v>
      </c>
      <c r="D41" s="7">
        <f t="shared" si="9"/>
        <v>66751.680423280413</v>
      </c>
      <c r="E41" s="7">
        <f t="shared" si="10"/>
        <v>280357.05777777772</v>
      </c>
      <c r="F41" s="7">
        <f t="shared" si="11"/>
        <v>58407.720370370364</v>
      </c>
    </row>
    <row r="42" spans="1:6" ht="17.25" x14ac:dyDescent="0.3">
      <c r="A42" s="6" t="s">
        <v>11</v>
      </c>
      <c r="B42" s="7">
        <v>5267.1050000000005</v>
      </c>
      <c r="C42" s="7">
        <v>7795315.4000000004</v>
      </c>
      <c r="D42" s="7">
        <f t="shared" si="9"/>
        <v>41245.055026455026</v>
      </c>
      <c r="E42" s="7">
        <f t="shared" si="10"/>
        <v>173229.23111111112</v>
      </c>
      <c r="F42" s="7">
        <f t="shared" si="11"/>
        <v>36089.423148148147</v>
      </c>
    </row>
    <row r="44" spans="1:6" ht="17.25" x14ac:dyDescent="0.3">
      <c r="A44" s="2" t="s">
        <v>0</v>
      </c>
      <c r="B44" s="4" t="s">
        <v>64</v>
      </c>
      <c r="C44" s="4" t="s">
        <v>65</v>
      </c>
      <c r="D44" s="4" t="s">
        <v>78</v>
      </c>
      <c r="E44" s="4" t="s">
        <v>79</v>
      </c>
      <c r="F44" s="4" t="s">
        <v>80</v>
      </c>
    </row>
    <row r="45" spans="1:6" ht="17.25" x14ac:dyDescent="0.3">
      <c r="A45" s="6" t="s">
        <v>5</v>
      </c>
      <c r="B45" s="7">
        <v>33406.559999999998</v>
      </c>
      <c r="C45" s="7">
        <v>49441708.799999997</v>
      </c>
      <c r="D45" s="7">
        <f>SUM(C45/189)</f>
        <v>261596.34285714285</v>
      </c>
      <c r="E45" s="7">
        <f>SUM(C45/45)</f>
        <v>1098704.6399999999</v>
      </c>
      <c r="F45" s="7">
        <f>SUM(C45/216)</f>
        <v>228896.8</v>
      </c>
    </row>
    <row r="46" spans="1:6" ht="17.25" x14ac:dyDescent="0.3">
      <c r="A46" s="6" t="s">
        <v>6</v>
      </c>
      <c r="B46" s="7">
        <v>27577.55</v>
      </c>
      <c r="C46" s="7">
        <v>40814774</v>
      </c>
      <c r="D46" s="7">
        <f t="shared" ref="D46:D51" si="12">SUM(C46/189)</f>
        <v>215951.1851851852</v>
      </c>
      <c r="E46" s="7">
        <f t="shared" ref="E46:E51" si="13">SUM(C46/45)</f>
        <v>906994.97777777782</v>
      </c>
      <c r="F46" s="7">
        <f t="shared" ref="F46:F51" si="14">SUM(C46/216)</f>
        <v>188957.28703703705</v>
      </c>
    </row>
    <row r="47" spans="1:6" ht="17.25" x14ac:dyDescent="0.3">
      <c r="A47" s="6" t="s">
        <v>7</v>
      </c>
      <c r="B47" s="7">
        <v>22972.234999999997</v>
      </c>
      <c r="C47" s="7">
        <v>33998907.799999997</v>
      </c>
      <c r="D47" s="7">
        <f t="shared" si="12"/>
        <v>179888.40105820104</v>
      </c>
      <c r="E47" s="7">
        <f t="shared" si="13"/>
        <v>755531.28444444435</v>
      </c>
      <c r="F47" s="7">
        <f t="shared" si="14"/>
        <v>157402.35092592592</v>
      </c>
    </row>
    <row r="48" spans="1:6" ht="17.25" x14ac:dyDescent="0.3">
      <c r="A48" s="6" t="s">
        <v>8</v>
      </c>
      <c r="B48" s="7">
        <v>17858.310000000001</v>
      </c>
      <c r="C48" s="7">
        <v>26430298.800000001</v>
      </c>
      <c r="D48" s="7">
        <f t="shared" si="12"/>
        <v>139842.85079365081</v>
      </c>
      <c r="E48" s="7">
        <f t="shared" si="13"/>
        <v>587339.97333333339</v>
      </c>
      <c r="F48" s="7">
        <f t="shared" si="14"/>
        <v>122362.49444444444</v>
      </c>
    </row>
    <row r="49" spans="1:6" ht="17.25" x14ac:dyDescent="0.3">
      <c r="A49" s="6" t="s">
        <v>9</v>
      </c>
      <c r="B49" s="7">
        <v>15086.970000000001</v>
      </c>
      <c r="C49" s="7">
        <v>22328715.600000001</v>
      </c>
      <c r="D49" s="7">
        <f t="shared" si="12"/>
        <v>118141.35238095239</v>
      </c>
      <c r="E49" s="7">
        <f t="shared" si="13"/>
        <v>496193.68000000005</v>
      </c>
      <c r="F49" s="7">
        <f t="shared" si="14"/>
        <v>103373.68333333333</v>
      </c>
    </row>
    <row r="50" spans="1:6" ht="17.25" x14ac:dyDescent="0.3">
      <c r="A50" s="6" t="s">
        <v>10</v>
      </c>
      <c r="B50" s="7">
        <v>9231.8350000000009</v>
      </c>
      <c r="C50" s="7">
        <v>13663115.800000001</v>
      </c>
      <c r="D50" s="7">
        <f t="shared" si="12"/>
        <v>72291.617989417995</v>
      </c>
      <c r="E50" s="7">
        <f t="shared" si="13"/>
        <v>303624.79555555555</v>
      </c>
      <c r="F50" s="7">
        <f t="shared" si="14"/>
        <v>63255.165740740747</v>
      </c>
    </row>
    <row r="51" spans="1:6" ht="17.25" x14ac:dyDescent="0.3">
      <c r="A51" s="6" t="s">
        <v>11</v>
      </c>
      <c r="B51" s="7">
        <v>5691.375</v>
      </c>
      <c r="C51" s="7">
        <v>8423235</v>
      </c>
      <c r="D51" s="7">
        <f t="shared" si="12"/>
        <v>44567.380952380954</v>
      </c>
      <c r="E51" s="7">
        <f t="shared" si="13"/>
        <v>187183</v>
      </c>
      <c r="F51" s="7">
        <f t="shared" si="14"/>
        <v>38996.458333333336</v>
      </c>
    </row>
    <row r="53" spans="1:6" ht="17.25" x14ac:dyDescent="0.3">
      <c r="A53" s="2" t="s">
        <v>0</v>
      </c>
      <c r="B53" s="5" t="s">
        <v>69</v>
      </c>
      <c r="C53" s="5" t="s">
        <v>70</v>
      </c>
      <c r="D53" s="5" t="s">
        <v>81</v>
      </c>
      <c r="E53" s="5" t="s">
        <v>72</v>
      </c>
      <c r="F53" s="5" t="s">
        <v>82</v>
      </c>
    </row>
    <row r="54" spans="1:6" ht="17.25" x14ac:dyDescent="0.3">
      <c r="A54" s="6" t="s">
        <v>5</v>
      </c>
      <c r="B54" s="7">
        <v>32169.279999999999</v>
      </c>
      <c r="C54" s="7">
        <v>47610534.399999999</v>
      </c>
      <c r="D54" s="7">
        <f>SUM(C54/189)</f>
        <v>251907.58941798942</v>
      </c>
      <c r="E54" s="7">
        <f>SUM(C54/45)</f>
        <v>1058011.8755555556</v>
      </c>
      <c r="F54" s="7">
        <f>SUM(C54/216)</f>
        <v>220419.14074074072</v>
      </c>
    </row>
    <row r="55" spans="1:6" ht="17.25" x14ac:dyDescent="0.3">
      <c r="A55" s="6" t="s">
        <v>6</v>
      </c>
      <c r="B55" s="7">
        <v>26516.875</v>
      </c>
      <c r="C55" s="7">
        <v>39244975</v>
      </c>
      <c r="D55" s="7">
        <f t="shared" ref="D55:D60" si="15">SUM(C55/189)</f>
        <v>207645.37037037036</v>
      </c>
      <c r="E55" s="7">
        <f t="shared" ref="E55:E60" si="16">SUM(C55/45)</f>
        <v>872110.5555555555</v>
      </c>
      <c r="F55" s="7">
        <f t="shared" ref="F55:F60" si="17">SUM(C55/216)</f>
        <v>181689.69907407407</v>
      </c>
    </row>
    <row r="56" spans="1:6" ht="17.25" x14ac:dyDescent="0.3">
      <c r="A56" s="6" t="s">
        <v>7</v>
      </c>
      <c r="B56" s="7">
        <v>22089.21</v>
      </c>
      <c r="C56" s="7">
        <v>32692030.799999997</v>
      </c>
      <c r="D56" s="7">
        <f t="shared" si="15"/>
        <v>172973.70793650791</v>
      </c>
      <c r="E56" s="7">
        <f t="shared" si="16"/>
        <v>726489.57333333325</v>
      </c>
      <c r="F56" s="7">
        <f t="shared" si="17"/>
        <v>151351.99444444443</v>
      </c>
    </row>
    <row r="57" spans="1:6" ht="17.25" x14ac:dyDescent="0.3">
      <c r="A57" s="6" t="s">
        <v>8</v>
      </c>
      <c r="B57" s="7">
        <v>17186.375</v>
      </c>
      <c r="C57" s="7">
        <v>25435835</v>
      </c>
      <c r="D57" s="7">
        <f t="shared" si="15"/>
        <v>134581.13756613756</v>
      </c>
      <c r="E57" s="7">
        <f t="shared" si="16"/>
        <v>565240.77777777775</v>
      </c>
      <c r="F57" s="7">
        <f t="shared" si="17"/>
        <v>117758.49537037036</v>
      </c>
    </row>
    <row r="58" spans="1:6" ht="17.25" x14ac:dyDescent="0.3">
      <c r="A58" s="6" t="s">
        <v>9</v>
      </c>
      <c r="B58" s="7">
        <v>14521.625</v>
      </c>
      <c r="C58" s="7">
        <v>21492005</v>
      </c>
      <c r="D58" s="7">
        <f t="shared" si="15"/>
        <v>113714.31216931216</v>
      </c>
      <c r="E58" s="7">
        <f t="shared" si="16"/>
        <v>477600.11111111112</v>
      </c>
      <c r="F58" s="7">
        <f t="shared" si="17"/>
        <v>99500.023148148146</v>
      </c>
    </row>
    <row r="59" spans="1:6" ht="17.25" x14ac:dyDescent="0.3">
      <c r="A59" s="6" t="s">
        <v>10</v>
      </c>
      <c r="B59" s="7">
        <v>8877.58</v>
      </c>
      <c r="C59" s="7">
        <v>13138818.4</v>
      </c>
      <c r="D59" s="7">
        <f t="shared" si="15"/>
        <v>69517.557671957678</v>
      </c>
      <c r="E59" s="7">
        <f t="shared" si="16"/>
        <v>291973.74222222221</v>
      </c>
      <c r="F59" s="7">
        <f t="shared" si="17"/>
        <v>60827.862962962965</v>
      </c>
    </row>
    <row r="60" spans="1:6" ht="17.25" x14ac:dyDescent="0.3">
      <c r="A60" s="6" t="s">
        <v>11</v>
      </c>
      <c r="B60" s="7">
        <v>5479.24</v>
      </c>
      <c r="C60" s="7">
        <v>8109275.1999999993</v>
      </c>
      <c r="D60" s="7">
        <f t="shared" si="15"/>
        <v>42906.217989417986</v>
      </c>
      <c r="E60" s="7">
        <f t="shared" si="16"/>
        <v>180206.11555555553</v>
      </c>
      <c r="F60" s="7">
        <f t="shared" si="17"/>
        <v>37542.940740740734</v>
      </c>
    </row>
  </sheetData>
  <phoneticPr fontId="2" type="noConversion"/>
  <pageMargins left="0.25" right="0.25" top="0.75" bottom="0.75" header="0.3" footer="0.3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원가</vt:lpstr>
      <vt:lpstr>테이블+셔틀(5% dicount)</vt:lpstr>
      <vt:lpstr>테이블+셔틀+호텔(5% dicount)</vt:lpstr>
      <vt:lpstr>各國價錢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Lam</dc:creator>
  <cp:lastModifiedBy>MYCOM</cp:lastModifiedBy>
  <cp:lastPrinted>2026-05-08T07:44:20Z</cp:lastPrinted>
  <dcterms:created xsi:type="dcterms:W3CDTF">2026-05-07T06:45:10Z</dcterms:created>
  <dcterms:modified xsi:type="dcterms:W3CDTF">2026-05-14T04:12:33Z</dcterms:modified>
</cp:coreProperties>
</file>